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kabb\Documents\TIA\Conferences\Tech 2019\"/>
    </mc:Choice>
  </mc:AlternateContent>
  <xr:revisionPtr revIDLastSave="0" documentId="8_{24B8358F-A08A-404B-AAD0-C1120154F573}" xr6:coauthVersionLast="44" xr6:coauthVersionMax="44" xr10:uidLastSave="{00000000-0000-0000-0000-000000000000}"/>
  <bookViews>
    <workbookView xWindow="-98" yWindow="-98" windowWidth="19396" windowHeight="10395" firstSheet="3" activeTab="11" xr2:uid="{00000000-000D-0000-FFFF-FFFF00000000}"/>
  </bookViews>
  <sheets>
    <sheet name="Base " sheetId="1" r:id="rId1"/>
    <sheet name="Variable Cost" sheetId="5" r:id="rId2"/>
    <sheet name="Fixed Cost" sheetId="2" r:id="rId3"/>
    <sheet name="Indirect Labor" sheetId="3" r:id="rId4"/>
    <sheet name="Press 6.5 in" sheetId="4" r:id="rId5"/>
    <sheet name="Press 10in" sheetId="6" r:id="rId6"/>
    <sheet name="Corn 6 In" sheetId="7" r:id="rId7"/>
    <sheet name="HC Chips" sheetId="8" r:id="rId8"/>
    <sheet name="Savings cubed versus liquid" sheetId="9" r:id="rId9"/>
    <sheet name="Decrease  Giveaway" sheetId="10" r:id="rId10"/>
    <sheet name="Decrease staffing" sheetId="11" r:id="rId11"/>
    <sheet name="Increase Line Speed 1 Cycle" sheetId="12" r:id="rId12"/>
    <sheet name="Double Volume" sheetId="13" r:id="rId13"/>
    <sheet name="Head Cut Chips" sheetId="17" r:id="rId1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7" l="1"/>
  <c r="C15" i="17"/>
  <c r="C17" i="17"/>
  <c r="C2" i="17"/>
  <c r="N29" i="17"/>
  <c r="J29" i="17"/>
  <c r="J30" i="17"/>
  <c r="I29" i="17"/>
  <c r="C29" i="17"/>
  <c r="C27" i="17"/>
  <c r="L28" i="17"/>
  <c r="L30" i="17"/>
  <c r="J17" i="17"/>
  <c r="N15" i="17"/>
  <c r="N14" i="17"/>
  <c r="N13" i="17"/>
  <c r="N12" i="17"/>
  <c r="N11" i="17"/>
  <c r="N10" i="17"/>
  <c r="K10" i="17"/>
  <c r="N9" i="17"/>
  <c r="K9" i="17"/>
  <c r="N8" i="17"/>
  <c r="K8" i="17"/>
  <c r="N7" i="17"/>
  <c r="K7" i="17"/>
  <c r="C7" i="17"/>
  <c r="I34" i="17"/>
  <c r="N6" i="17"/>
  <c r="K6" i="17"/>
  <c r="N5" i="17"/>
  <c r="N4" i="17"/>
  <c r="N3" i="17"/>
  <c r="N17" i="17"/>
  <c r="K3" i="17"/>
  <c r="I36" i="13"/>
  <c r="C11" i="17"/>
  <c r="C12" i="17"/>
  <c r="O8" i="17"/>
  <c r="O5" i="17"/>
  <c r="O3" i="17"/>
  <c r="O4" i="17"/>
  <c r="O13" i="17"/>
  <c r="O9" i="17"/>
  <c r="O10" i="17"/>
  <c r="O14" i="17"/>
  <c r="O12" i="17"/>
  <c r="O7" i="17"/>
  <c r="O6" i="17"/>
  <c r="O11" i="17"/>
  <c r="O15" i="17"/>
  <c r="C16" i="17"/>
  <c r="C10" i="17"/>
  <c r="C19" i="17"/>
  <c r="N22" i="17"/>
  <c r="C22" i="17"/>
  <c r="E17" i="17"/>
  <c r="N20" i="17"/>
  <c r="O17" i="17"/>
  <c r="C23" i="17"/>
  <c r="C9" i="17"/>
  <c r="N28" i="17"/>
  <c r="N30" i="17"/>
  <c r="I34" i="12"/>
  <c r="J29" i="12"/>
  <c r="J30" i="12"/>
  <c r="I29" i="12"/>
  <c r="C29" i="12"/>
  <c r="C27" i="12"/>
  <c r="L28" i="12"/>
  <c r="L30" i="12"/>
  <c r="J17" i="12"/>
  <c r="N15" i="12"/>
  <c r="C15" i="12"/>
  <c r="C17" i="12"/>
  <c r="N14" i="12"/>
  <c r="O14" i="12"/>
  <c r="N13" i="12"/>
  <c r="O13" i="12"/>
  <c r="N12" i="12"/>
  <c r="N11" i="12"/>
  <c r="N10" i="12"/>
  <c r="O10" i="12"/>
  <c r="K10" i="12"/>
  <c r="N9" i="12"/>
  <c r="K9" i="12"/>
  <c r="N8" i="12"/>
  <c r="O8" i="12"/>
  <c r="K8" i="12"/>
  <c r="N7" i="12"/>
  <c r="K7" i="12"/>
  <c r="C7" i="12"/>
  <c r="N6" i="12"/>
  <c r="O6" i="12"/>
  <c r="K6" i="12"/>
  <c r="N5" i="12"/>
  <c r="N4" i="12"/>
  <c r="O4" i="12"/>
  <c r="N3" i="12"/>
  <c r="N17" i="12"/>
  <c r="K3" i="12"/>
  <c r="C2" i="12"/>
  <c r="N29" i="12"/>
  <c r="I34" i="11"/>
  <c r="J29" i="11"/>
  <c r="J30" i="11"/>
  <c r="I29" i="11"/>
  <c r="C29" i="11"/>
  <c r="C27" i="11"/>
  <c r="L28" i="11"/>
  <c r="L30" i="11"/>
  <c r="J17" i="11"/>
  <c r="N15" i="11"/>
  <c r="C15" i="11"/>
  <c r="C17" i="11"/>
  <c r="N14" i="11"/>
  <c r="N13" i="11"/>
  <c r="N12" i="11"/>
  <c r="N11" i="11"/>
  <c r="N10" i="11"/>
  <c r="K10" i="11"/>
  <c r="N9" i="11"/>
  <c r="K9" i="11"/>
  <c r="N8" i="11"/>
  <c r="K8" i="11"/>
  <c r="N7" i="11"/>
  <c r="K7" i="11"/>
  <c r="C7" i="11"/>
  <c r="N6" i="11"/>
  <c r="K6" i="11"/>
  <c r="N5" i="11"/>
  <c r="N4" i="11"/>
  <c r="N3" i="11"/>
  <c r="K3" i="11"/>
  <c r="C2" i="11"/>
  <c r="N29" i="11"/>
  <c r="I34" i="10"/>
  <c r="J30" i="10"/>
  <c r="J29" i="10"/>
  <c r="I29" i="10"/>
  <c r="C29" i="10"/>
  <c r="C27" i="10"/>
  <c r="L28" i="10"/>
  <c r="L30" i="10"/>
  <c r="C23" i="10"/>
  <c r="J17" i="10"/>
  <c r="N15" i="10"/>
  <c r="C15" i="10"/>
  <c r="C17" i="10"/>
  <c r="N14" i="10"/>
  <c r="N13" i="10"/>
  <c r="N12" i="10"/>
  <c r="N11" i="10"/>
  <c r="N10" i="10"/>
  <c r="K10" i="10"/>
  <c r="N9" i="10"/>
  <c r="K9" i="10"/>
  <c r="C9" i="10"/>
  <c r="N8" i="10"/>
  <c r="K8" i="10"/>
  <c r="N7" i="10"/>
  <c r="O7" i="10"/>
  <c r="K7" i="10"/>
  <c r="C7" i="10"/>
  <c r="N6" i="10"/>
  <c r="K6" i="10"/>
  <c r="N5" i="10"/>
  <c r="O5" i="10"/>
  <c r="N4" i="10"/>
  <c r="N3" i="10"/>
  <c r="K3" i="10"/>
  <c r="C2" i="10"/>
  <c r="N29" i="10"/>
  <c r="I34" i="9"/>
  <c r="J29" i="9"/>
  <c r="J30" i="9"/>
  <c r="I29" i="9"/>
  <c r="C29" i="9"/>
  <c r="L28" i="9"/>
  <c r="L30" i="9"/>
  <c r="C27" i="9"/>
  <c r="O10" i="9"/>
  <c r="J17" i="9"/>
  <c r="N15" i="9"/>
  <c r="C15" i="9"/>
  <c r="C17" i="9"/>
  <c r="N14" i="9"/>
  <c r="O14" i="9"/>
  <c r="O13" i="9"/>
  <c r="N13" i="9"/>
  <c r="N12" i="9"/>
  <c r="N11" i="9"/>
  <c r="O11" i="9"/>
  <c r="N10" i="9"/>
  <c r="K10" i="9"/>
  <c r="O9" i="9"/>
  <c r="N9" i="9"/>
  <c r="K9" i="9"/>
  <c r="N8" i="9"/>
  <c r="O8" i="9"/>
  <c r="K8" i="9"/>
  <c r="N7" i="9"/>
  <c r="K7" i="9"/>
  <c r="C7" i="9"/>
  <c r="C23" i="9"/>
  <c r="N6" i="9"/>
  <c r="K6" i="9"/>
  <c r="N5" i="9"/>
  <c r="O5" i="9"/>
  <c r="N4" i="9"/>
  <c r="N3" i="9"/>
  <c r="O3" i="9"/>
  <c r="K3" i="9"/>
  <c r="C2" i="9"/>
  <c r="N29" i="9"/>
  <c r="J29" i="8"/>
  <c r="J30" i="8"/>
  <c r="I29" i="8"/>
  <c r="C29" i="8"/>
  <c r="C27" i="8"/>
  <c r="L28" i="8"/>
  <c r="L30" i="8"/>
  <c r="J17" i="8"/>
  <c r="N15" i="8"/>
  <c r="C15" i="8"/>
  <c r="C17" i="8"/>
  <c r="N14" i="8"/>
  <c r="N13" i="8"/>
  <c r="N12" i="8"/>
  <c r="N11" i="8"/>
  <c r="N10" i="8"/>
  <c r="O10" i="8"/>
  <c r="K10" i="8"/>
  <c r="N9" i="8"/>
  <c r="K9" i="8"/>
  <c r="N8" i="8"/>
  <c r="O8" i="8"/>
  <c r="K8" i="8"/>
  <c r="N7" i="8"/>
  <c r="K7" i="8"/>
  <c r="C7" i="8"/>
  <c r="N6" i="8"/>
  <c r="K6" i="8"/>
  <c r="N5" i="8"/>
  <c r="N4" i="8"/>
  <c r="O4" i="8"/>
  <c r="N3" i="8"/>
  <c r="K3" i="8"/>
  <c r="C2" i="8"/>
  <c r="N29" i="8"/>
  <c r="C7" i="7"/>
  <c r="C23" i="7"/>
  <c r="J29" i="7"/>
  <c r="J30" i="7"/>
  <c r="I29" i="7"/>
  <c r="C29" i="7"/>
  <c r="C27" i="7"/>
  <c r="L28" i="7"/>
  <c r="L30" i="7"/>
  <c r="J17" i="7"/>
  <c r="N15" i="7"/>
  <c r="C15" i="7"/>
  <c r="C17" i="7"/>
  <c r="N14" i="7"/>
  <c r="N13" i="7"/>
  <c r="N12" i="7"/>
  <c r="N11" i="7"/>
  <c r="N10" i="7"/>
  <c r="K10" i="7"/>
  <c r="N9" i="7"/>
  <c r="K9" i="7"/>
  <c r="N8" i="7"/>
  <c r="K8" i="7"/>
  <c r="N7" i="7"/>
  <c r="K7" i="7"/>
  <c r="N6" i="7"/>
  <c r="K6" i="7"/>
  <c r="N5" i="7"/>
  <c r="N4" i="7"/>
  <c r="N3" i="7"/>
  <c r="K3" i="7"/>
  <c r="C2" i="7"/>
  <c r="N29" i="7"/>
  <c r="C7" i="6"/>
  <c r="J29" i="4"/>
  <c r="J30" i="4"/>
  <c r="I29" i="4"/>
  <c r="C29" i="4"/>
  <c r="L28" i="4"/>
  <c r="L30" i="4"/>
  <c r="C27" i="4"/>
  <c r="O10" i="4"/>
  <c r="J17" i="4"/>
  <c r="N15" i="4"/>
  <c r="C15" i="4"/>
  <c r="C17" i="4"/>
  <c r="N14" i="4"/>
  <c r="O14" i="4"/>
  <c r="O13" i="4"/>
  <c r="N13" i="4"/>
  <c r="N12" i="4"/>
  <c r="N11" i="4"/>
  <c r="O11" i="4"/>
  <c r="N10" i="4"/>
  <c r="K10" i="4"/>
  <c r="O9" i="4"/>
  <c r="N9" i="4"/>
  <c r="K9" i="4"/>
  <c r="N8" i="4"/>
  <c r="O8" i="4"/>
  <c r="K8" i="4"/>
  <c r="N7" i="4"/>
  <c r="K7" i="4"/>
  <c r="C7" i="4"/>
  <c r="N6" i="4"/>
  <c r="K6" i="4"/>
  <c r="N5" i="4"/>
  <c r="O5" i="4"/>
  <c r="N4" i="4"/>
  <c r="O4" i="4"/>
  <c r="N3" i="4"/>
  <c r="N17" i="4"/>
  <c r="K3" i="4"/>
  <c r="C2" i="4"/>
  <c r="N29" i="4"/>
  <c r="J29" i="6"/>
  <c r="J30" i="6"/>
  <c r="I29" i="6"/>
  <c r="L28" i="6"/>
  <c r="L30" i="6"/>
  <c r="C29" i="6"/>
  <c r="C27" i="6"/>
  <c r="J17" i="6"/>
  <c r="N15" i="6"/>
  <c r="N14" i="6"/>
  <c r="N13" i="6"/>
  <c r="N12" i="6"/>
  <c r="N11" i="6"/>
  <c r="C15" i="6"/>
  <c r="C17" i="6"/>
  <c r="N10" i="6"/>
  <c r="K10" i="6"/>
  <c r="N9" i="6"/>
  <c r="K9" i="6"/>
  <c r="N8" i="6"/>
  <c r="K8" i="6"/>
  <c r="N7" i="6"/>
  <c r="K7" i="6"/>
  <c r="N6" i="6"/>
  <c r="O6" i="6"/>
  <c r="K6" i="6"/>
  <c r="N5" i="6"/>
  <c r="N4" i="6"/>
  <c r="N3" i="6"/>
  <c r="K3" i="6"/>
  <c r="C2" i="6"/>
  <c r="N28" i="6"/>
  <c r="D11" i="5"/>
  <c r="N17" i="6"/>
  <c r="O7" i="4"/>
  <c r="O12" i="4"/>
  <c r="O7" i="9"/>
  <c r="O12" i="9"/>
  <c r="O6" i="10"/>
  <c r="O3" i="4"/>
  <c r="O6" i="4"/>
  <c r="O15" i="4"/>
  <c r="O4" i="9"/>
  <c r="O6" i="9"/>
  <c r="O15" i="9"/>
  <c r="O4" i="10"/>
  <c r="O4" i="11"/>
  <c r="C11" i="11"/>
  <c r="C12" i="11"/>
  <c r="O8" i="11"/>
  <c r="O10" i="11"/>
  <c r="O14" i="11"/>
  <c r="C23" i="11"/>
  <c r="O7" i="12"/>
  <c r="O11" i="10"/>
  <c r="J20" i="17"/>
  <c r="J22" i="17"/>
  <c r="C11" i="12"/>
  <c r="C12" i="12"/>
  <c r="O9" i="12"/>
  <c r="O12" i="12"/>
  <c r="O15" i="12"/>
  <c r="N20" i="12"/>
  <c r="O17" i="12"/>
  <c r="O5" i="12"/>
  <c r="O3" i="12"/>
  <c r="O11" i="12"/>
  <c r="C16" i="12"/>
  <c r="C22" i="12"/>
  <c r="C19" i="12"/>
  <c r="N22" i="12"/>
  <c r="E17" i="12"/>
  <c r="C23" i="12"/>
  <c r="C9" i="12"/>
  <c r="C10" i="12"/>
  <c r="N28" i="12"/>
  <c r="N30" i="12"/>
  <c r="N17" i="11"/>
  <c r="N20" i="11"/>
  <c r="C16" i="11"/>
  <c r="C22" i="11"/>
  <c r="C19" i="11"/>
  <c r="N22" i="11"/>
  <c r="E17" i="11"/>
  <c r="O7" i="11"/>
  <c r="O9" i="11"/>
  <c r="O12" i="11"/>
  <c r="O15" i="11"/>
  <c r="O5" i="11"/>
  <c r="O11" i="11"/>
  <c r="O17" i="11"/>
  <c r="O6" i="11"/>
  <c r="O13" i="11"/>
  <c r="C9" i="11"/>
  <c r="C10" i="11"/>
  <c r="O3" i="11"/>
  <c r="N28" i="11"/>
  <c r="N30" i="11"/>
  <c r="N17" i="10"/>
  <c r="N20" i="10"/>
  <c r="O9" i="10"/>
  <c r="O12" i="10"/>
  <c r="O15" i="10"/>
  <c r="O8" i="10"/>
  <c r="O13" i="10"/>
  <c r="C11" i="10"/>
  <c r="C12" i="10"/>
  <c r="O17" i="10"/>
  <c r="O10" i="10"/>
  <c r="O14" i="10"/>
  <c r="C16" i="10"/>
  <c r="C10" i="10"/>
  <c r="C22" i="10"/>
  <c r="C19" i="10"/>
  <c r="N22" i="10"/>
  <c r="E17" i="10"/>
  <c r="O3" i="10"/>
  <c r="N28" i="10"/>
  <c r="N30" i="10"/>
  <c r="N17" i="9"/>
  <c r="N20" i="9"/>
  <c r="C22" i="9"/>
  <c r="C19" i="9"/>
  <c r="N22" i="9"/>
  <c r="E17" i="9"/>
  <c r="C16" i="9"/>
  <c r="C10" i="9"/>
  <c r="O17" i="9"/>
  <c r="C11" i="9"/>
  <c r="C12" i="9"/>
  <c r="N28" i="9"/>
  <c r="N30" i="9"/>
  <c r="C9" i="9"/>
  <c r="O6" i="8"/>
  <c r="O13" i="8"/>
  <c r="O11" i="8"/>
  <c r="O7" i="8"/>
  <c r="O9" i="8"/>
  <c r="O15" i="8"/>
  <c r="C11" i="8"/>
  <c r="C12" i="8"/>
  <c r="N28" i="8"/>
  <c r="N30" i="8"/>
  <c r="C22" i="8"/>
  <c r="C19" i="8"/>
  <c r="N22" i="8"/>
  <c r="E17" i="8"/>
  <c r="C16" i="8"/>
  <c r="O12" i="8"/>
  <c r="O5" i="8"/>
  <c r="O3" i="8"/>
  <c r="O14" i="8"/>
  <c r="N17" i="8"/>
  <c r="C23" i="8"/>
  <c r="C9" i="8"/>
  <c r="N17" i="7"/>
  <c r="N20" i="7"/>
  <c r="O15" i="7"/>
  <c r="O13" i="7"/>
  <c r="O9" i="7"/>
  <c r="O11" i="7"/>
  <c r="O10" i="7"/>
  <c r="O6" i="7"/>
  <c r="O4" i="7"/>
  <c r="O7" i="7"/>
  <c r="O8" i="7"/>
  <c r="O14" i="7"/>
  <c r="O12" i="7"/>
  <c r="O5" i="7"/>
  <c r="C9" i="7"/>
  <c r="C22" i="7"/>
  <c r="C19" i="7"/>
  <c r="N22" i="7"/>
  <c r="E17" i="7"/>
  <c r="C16" i="7"/>
  <c r="C11" i="7"/>
  <c r="C12" i="7"/>
  <c r="O3" i="7"/>
  <c r="N28" i="7"/>
  <c r="N30" i="7"/>
  <c r="C22" i="4"/>
  <c r="C19" i="4"/>
  <c r="N22" i="4"/>
  <c r="E17" i="4"/>
  <c r="C16" i="4"/>
  <c r="N20" i="4"/>
  <c r="O17" i="4"/>
  <c r="C11" i="4"/>
  <c r="C12" i="4"/>
  <c r="N28" i="4"/>
  <c r="N30" i="4"/>
  <c r="C23" i="4"/>
  <c r="C9" i="4"/>
  <c r="O12" i="6"/>
  <c r="O4" i="6"/>
  <c r="C11" i="6"/>
  <c r="C12" i="6"/>
  <c r="C9" i="6"/>
  <c r="C22" i="6"/>
  <c r="C19" i="6"/>
  <c r="N22" i="6"/>
  <c r="E17" i="6"/>
  <c r="C16" i="6"/>
  <c r="O17" i="6"/>
  <c r="N20" i="6"/>
  <c r="O11" i="6"/>
  <c r="O13" i="6"/>
  <c r="O8" i="6"/>
  <c r="O14" i="6"/>
  <c r="O10" i="6"/>
  <c r="O5" i="6"/>
  <c r="O7" i="6"/>
  <c r="O9" i="6"/>
  <c r="O15" i="6"/>
  <c r="C23" i="6"/>
  <c r="N29" i="6"/>
  <c r="N30" i="6"/>
  <c r="O3" i="6"/>
  <c r="C10" i="6"/>
  <c r="G16" i="1"/>
  <c r="C10" i="7"/>
  <c r="G18" i="1"/>
  <c r="C10" i="4"/>
  <c r="G15" i="1"/>
  <c r="C10" i="8"/>
  <c r="G19" i="1"/>
  <c r="L22" i="17"/>
  <c r="L20" i="17"/>
  <c r="J20" i="12"/>
  <c r="J22" i="12"/>
  <c r="J22" i="11"/>
  <c r="J20" i="11"/>
  <c r="J22" i="10"/>
  <c r="J20" i="10"/>
  <c r="J20" i="9"/>
  <c r="J22" i="9"/>
  <c r="N20" i="8"/>
  <c r="O17" i="8"/>
  <c r="J22" i="8"/>
  <c r="O17" i="7"/>
  <c r="J22" i="7"/>
  <c r="J20" i="7"/>
  <c r="J22" i="4"/>
  <c r="J20" i="4"/>
  <c r="J22" i="6"/>
  <c r="J20" i="6"/>
  <c r="L22" i="12"/>
  <c r="L20" i="12"/>
  <c r="L20" i="11"/>
  <c r="L22" i="11"/>
  <c r="L20" i="10"/>
  <c r="L22" i="10"/>
  <c r="L22" i="9"/>
  <c r="L20" i="9"/>
  <c r="L22" i="8"/>
  <c r="J20" i="8"/>
  <c r="L22" i="7"/>
  <c r="L20" i="7"/>
  <c r="L20" i="4"/>
  <c r="L22" i="4"/>
  <c r="L20" i="6"/>
  <c r="L22" i="6"/>
  <c r="L20" i="8"/>
  <c r="D9" i="3"/>
  <c r="F16" i="1"/>
  <c r="H16" i="1"/>
  <c r="I16" i="1"/>
  <c r="F18" i="1"/>
  <c r="F19" i="1"/>
  <c r="H19" i="1"/>
  <c r="I19" i="1"/>
  <c r="F20" i="1"/>
  <c r="F21" i="1"/>
  <c r="H18" i="1"/>
  <c r="I18" i="1"/>
  <c r="F15" i="1"/>
  <c r="F17" i="1"/>
  <c r="D24" i="2"/>
  <c r="D9" i="2"/>
  <c r="F7" i="2"/>
  <c r="F5" i="2"/>
  <c r="G5" i="2"/>
  <c r="D20" i="1"/>
  <c r="D17" i="1"/>
  <c r="F4" i="2"/>
  <c r="F9" i="2"/>
  <c r="H15" i="1"/>
  <c r="I15" i="1"/>
  <c r="H20" i="1"/>
  <c r="G20" i="1"/>
  <c r="H17" i="1"/>
  <c r="I17" i="1"/>
  <c r="I4" i="2"/>
  <c r="L15" i="2"/>
  <c r="G4" i="2"/>
  <c r="D21" i="1"/>
  <c r="G8" i="5"/>
  <c r="G3" i="5"/>
  <c r="G5" i="5"/>
  <c r="G9" i="5"/>
  <c r="G6" i="5"/>
  <c r="G7" i="5"/>
  <c r="G10" i="5"/>
  <c r="G4" i="5"/>
  <c r="G11" i="5"/>
  <c r="G4" i="3"/>
  <c r="G5" i="3"/>
  <c r="G6" i="3"/>
  <c r="G3" i="3"/>
  <c r="G9" i="3"/>
  <c r="I20" i="1"/>
  <c r="I5" i="2"/>
  <c r="L20" i="2"/>
  <c r="H21" i="1"/>
  <c r="G21" i="1"/>
  <c r="G17" i="1"/>
  <c r="G15" i="2"/>
  <c r="G19" i="2"/>
  <c r="G23" i="2"/>
  <c r="G9" i="2"/>
  <c r="G18" i="2"/>
  <c r="G7" i="2"/>
  <c r="G16" i="2"/>
  <c r="G20" i="2"/>
  <c r="G24" i="2"/>
  <c r="G22" i="2"/>
  <c r="D25" i="1"/>
  <c r="G13" i="2"/>
  <c r="G17" i="2"/>
  <c r="G21" i="2"/>
  <c r="G14" i="2"/>
  <c r="D24" i="1"/>
  <c r="I21" i="1"/>
  <c r="I9" i="5"/>
  <c r="I8" i="5"/>
  <c r="I10" i="5"/>
  <c r="I5" i="5"/>
  <c r="I3" i="5"/>
  <c r="I7" i="5"/>
  <c r="I6" i="5"/>
  <c r="I4" i="5"/>
  <c r="I11" i="5"/>
  <c r="I5" i="3"/>
  <c r="I6" i="3"/>
  <c r="I3" i="3"/>
  <c r="I4" i="3"/>
  <c r="I9" i="3"/>
  <c r="I15" i="2"/>
  <c r="I19" i="2"/>
  <c r="I23" i="2"/>
  <c r="I16" i="2"/>
  <c r="I20" i="2"/>
  <c r="I7" i="2"/>
  <c r="I13" i="2"/>
  <c r="I17" i="2"/>
  <c r="I21" i="2"/>
  <c r="I14" i="2"/>
  <c r="I18" i="2"/>
  <c r="I22" i="2"/>
  <c r="I9" i="2"/>
  <c r="I24" i="2"/>
  <c r="P23" i="17"/>
  <c r="N23" i="17"/>
  <c r="P23" i="10"/>
  <c r="N23" i="10"/>
  <c r="P23" i="11"/>
  <c r="N23" i="11"/>
  <c r="P23" i="12"/>
  <c r="N23" i="12"/>
  <c r="P23" i="9"/>
  <c r="N23" i="9"/>
  <c r="P24" i="17"/>
  <c r="N24" i="17"/>
  <c r="J24" i="17"/>
  <c r="L24" i="17"/>
  <c r="P24" i="11"/>
  <c r="N24" i="11"/>
  <c r="J24" i="11"/>
  <c r="L24" i="11"/>
  <c r="P24" i="12"/>
  <c r="N24" i="12"/>
  <c r="J24" i="12"/>
  <c r="L24" i="12"/>
  <c r="P24" i="9"/>
  <c r="N24" i="9"/>
  <c r="J24" i="9"/>
  <c r="L24" i="9"/>
  <c r="P24" i="10"/>
  <c r="N24" i="10"/>
  <c r="J24" i="10"/>
  <c r="L24" i="10"/>
  <c r="P24" i="7"/>
  <c r="N24" i="7"/>
  <c r="J24" i="7"/>
  <c r="L24" i="7"/>
  <c r="P24" i="8"/>
  <c r="N24" i="8"/>
  <c r="J24" i="8"/>
  <c r="L24" i="8"/>
  <c r="P23" i="7"/>
  <c r="N23" i="7"/>
  <c r="J23" i="7"/>
  <c r="P23" i="8"/>
  <c r="N23" i="8"/>
  <c r="P23" i="6"/>
  <c r="N23" i="6"/>
  <c r="P23" i="4"/>
  <c r="N23" i="4"/>
  <c r="P24" i="4"/>
  <c r="N24" i="4"/>
  <c r="J24" i="4"/>
  <c r="L24" i="4"/>
  <c r="P24" i="6"/>
  <c r="N24" i="6"/>
  <c r="J24" i="6"/>
  <c r="L24" i="6"/>
  <c r="N20" i="2"/>
  <c r="N15" i="2"/>
  <c r="M20" i="2"/>
  <c r="M15" i="2"/>
  <c r="J23" i="12"/>
  <c r="O15" i="2"/>
  <c r="J23" i="11"/>
  <c r="J23" i="10"/>
  <c r="J23" i="9"/>
  <c r="J23" i="17"/>
  <c r="O20" i="2"/>
  <c r="P25" i="17"/>
  <c r="N25" i="17"/>
  <c r="J25" i="17"/>
  <c r="L25" i="17"/>
  <c r="J23" i="8"/>
  <c r="L23" i="7"/>
  <c r="J23" i="4"/>
  <c r="P25" i="4"/>
  <c r="N25" i="4"/>
  <c r="J25" i="4"/>
  <c r="L25" i="4"/>
  <c r="P25" i="6"/>
  <c r="N25" i="6"/>
  <c r="J25" i="6"/>
  <c r="L25" i="6"/>
  <c r="J23" i="6"/>
  <c r="L23" i="9"/>
  <c r="L23" i="11"/>
  <c r="N26" i="17"/>
  <c r="N32" i="17"/>
  <c r="I36" i="17"/>
  <c r="P25" i="12"/>
  <c r="N25" i="12"/>
  <c r="P25" i="10"/>
  <c r="N25" i="10"/>
  <c r="P25" i="11"/>
  <c r="N25" i="11"/>
  <c r="P25" i="9"/>
  <c r="N25" i="9"/>
  <c r="L23" i="17"/>
  <c r="L26" i="17"/>
  <c r="L32" i="17"/>
  <c r="P34" i="17"/>
  <c r="J26" i="17"/>
  <c r="J32" i="17"/>
  <c r="L23" i="10"/>
  <c r="L23" i="12"/>
  <c r="N26" i="4"/>
  <c r="N32" i="4"/>
  <c r="L23" i="8"/>
  <c r="P25" i="8"/>
  <c r="N25" i="8"/>
  <c r="P25" i="7"/>
  <c r="N25" i="7"/>
  <c r="N26" i="6"/>
  <c r="N32" i="6"/>
  <c r="L23" i="6"/>
  <c r="L26" i="6"/>
  <c r="L32" i="6"/>
  <c r="P32" i="6"/>
  <c r="J26" i="6"/>
  <c r="J32" i="6"/>
  <c r="L23" i="4"/>
  <c r="L26" i="4"/>
  <c r="L32" i="4"/>
  <c r="P32" i="4"/>
  <c r="J26" i="4"/>
  <c r="J32" i="4"/>
  <c r="I35" i="13"/>
  <c r="I37" i="13"/>
  <c r="I38" i="13"/>
  <c r="I35" i="12"/>
  <c r="I35" i="10"/>
  <c r="I35" i="9"/>
  <c r="I35" i="11"/>
  <c r="J25" i="10"/>
  <c r="N26" i="10"/>
  <c r="N32" i="10"/>
  <c r="I36" i="10"/>
  <c r="I37" i="10"/>
  <c r="I38" i="10"/>
  <c r="J25" i="12"/>
  <c r="N26" i="12"/>
  <c r="N32" i="12"/>
  <c r="I36" i="12"/>
  <c r="I37" i="12"/>
  <c r="I38" i="12"/>
  <c r="J25" i="11"/>
  <c r="N26" i="11"/>
  <c r="N32" i="11"/>
  <c r="I36" i="11"/>
  <c r="I37" i="11"/>
  <c r="I38" i="11"/>
  <c r="J25" i="9"/>
  <c r="N26" i="9"/>
  <c r="N32" i="9"/>
  <c r="I36" i="9"/>
  <c r="I37" i="9"/>
  <c r="I38" i="9"/>
  <c r="J25" i="8"/>
  <c r="N26" i="8"/>
  <c r="N32" i="8"/>
  <c r="I35" i="17"/>
  <c r="I37" i="17"/>
  <c r="I38" i="17"/>
  <c r="J25" i="7"/>
  <c r="N26" i="7"/>
  <c r="N32" i="7"/>
  <c r="L35" i="13"/>
  <c r="L37" i="13"/>
  <c r="L38" i="13"/>
  <c r="L25" i="9"/>
  <c r="L26" i="9"/>
  <c r="L32" i="9"/>
  <c r="P32" i="9"/>
  <c r="J26" i="9"/>
  <c r="J32" i="9"/>
  <c r="L25" i="12"/>
  <c r="L26" i="12"/>
  <c r="L32" i="12"/>
  <c r="P32" i="12"/>
  <c r="J26" i="12"/>
  <c r="J32" i="12"/>
  <c r="L25" i="10"/>
  <c r="L26" i="10"/>
  <c r="L32" i="10"/>
  <c r="P32" i="10"/>
  <c r="J26" i="10"/>
  <c r="J32" i="10"/>
  <c r="L25" i="11"/>
  <c r="L26" i="11"/>
  <c r="L32" i="11"/>
  <c r="P32" i="11"/>
  <c r="J26" i="11"/>
  <c r="J32" i="11"/>
  <c r="L25" i="7"/>
  <c r="L26" i="7"/>
  <c r="L32" i="7"/>
  <c r="P32" i="7"/>
  <c r="J26" i="7"/>
  <c r="J32" i="7"/>
  <c r="L25" i="8"/>
  <c r="L26" i="8"/>
  <c r="L32" i="8"/>
  <c r="P32" i="8"/>
  <c r="P34" i="8"/>
  <c r="J26" i="8"/>
  <c r="J32" i="8"/>
</calcChain>
</file>

<file path=xl/sharedStrings.xml><?xml version="1.0" encoding="utf-8"?>
<sst xmlns="http://schemas.openxmlformats.org/spreadsheetml/2006/main" count="741" uniqueCount="149">
  <si>
    <t>Plant Layout</t>
  </si>
  <si>
    <t>Press Line</t>
  </si>
  <si>
    <t>Corn Line</t>
  </si>
  <si>
    <t>Products</t>
  </si>
  <si>
    <t>Corn Tortilla</t>
  </si>
  <si>
    <t xml:space="preserve"> Hand Cut Chip</t>
  </si>
  <si>
    <t>10"Press Flour Tortilla</t>
  </si>
  <si>
    <t xml:space="preserve"> 6 "Press Flour Tortilla</t>
  </si>
  <si>
    <t>Annual Lbs</t>
  </si>
  <si>
    <t>Total</t>
  </si>
  <si>
    <t>Total Lbs.</t>
  </si>
  <si>
    <t>% Lbs.</t>
  </si>
  <si>
    <t>Press Flour</t>
  </si>
  <si>
    <t>Corn Process</t>
  </si>
  <si>
    <t>Base Info</t>
  </si>
  <si>
    <t>Press line</t>
  </si>
  <si>
    <t>depreciation $ per lb</t>
  </si>
  <si>
    <t>Total Press Lbs</t>
  </si>
  <si>
    <t>Total Corn Lbs</t>
  </si>
  <si>
    <t>Notes</t>
  </si>
  <si>
    <t>Why use lbs instead of Units for cost - can equally be used across all types of packs and sizes</t>
  </si>
  <si>
    <t>Building and Support Equipment</t>
  </si>
  <si>
    <t>Capital</t>
  </si>
  <si>
    <t>Totals</t>
  </si>
  <si>
    <t>Fixed Cost - cost that would be there if you didn’t run any lbs at all</t>
  </si>
  <si>
    <t>Rent</t>
  </si>
  <si>
    <t>Employee Benefits</t>
  </si>
  <si>
    <t>Legal Fees</t>
  </si>
  <si>
    <t>Office and Postage</t>
  </si>
  <si>
    <t>Maintenance Parts</t>
  </si>
  <si>
    <t>Annual Cost</t>
  </si>
  <si>
    <t>Taxes</t>
  </si>
  <si>
    <t>Insurance</t>
  </si>
  <si>
    <t>Telephone</t>
  </si>
  <si>
    <t>Trash Service</t>
  </si>
  <si>
    <t>Misc.</t>
  </si>
  <si>
    <t>Cost per Lb</t>
  </si>
  <si>
    <t>Lbs Week</t>
  </si>
  <si>
    <t>Hrs week</t>
  </si>
  <si>
    <t>Hrs Year</t>
  </si>
  <si>
    <t>Output Lbs.  Hr</t>
  </si>
  <si>
    <t>Cost per Line HR</t>
  </si>
  <si>
    <t xml:space="preserve">Capital </t>
  </si>
  <si>
    <t>Management</t>
  </si>
  <si>
    <t>Labor</t>
  </si>
  <si>
    <t>Quality</t>
  </si>
  <si>
    <t>Cost per line Hr</t>
  </si>
  <si>
    <t>Sanatation</t>
  </si>
  <si>
    <t>Indirect Labor</t>
  </si>
  <si>
    <t>Mechanics</t>
  </si>
  <si>
    <t>Product:</t>
  </si>
  <si>
    <t>Case weight (lbs)</t>
  </si>
  <si>
    <t>OZ per Dozen</t>
  </si>
  <si>
    <t>Packages per case:</t>
  </si>
  <si>
    <t>Ingredients</t>
  </si>
  <si>
    <t>Batch Lbs.</t>
  </si>
  <si>
    <t>% Flour</t>
  </si>
  <si>
    <t>Unit Cost</t>
  </si>
  <si>
    <t>Batch Cost</t>
  </si>
  <si>
    <t xml:space="preserve"> </t>
  </si>
  <si>
    <t xml:space="preserve">   Totals</t>
  </si>
  <si>
    <t>Total Waste</t>
  </si>
  <si>
    <t>Per Case</t>
  </si>
  <si>
    <t>Per Package</t>
  </si>
  <si>
    <t>Per Pound</t>
  </si>
  <si>
    <t>Direct Labor</t>
  </si>
  <si>
    <t>Variable Overhead</t>
  </si>
  <si>
    <t>Fixed Overhead</t>
  </si>
  <si>
    <t>Conversion (w/o pkg.)</t>
  </si>
  <si>
    <t>Packaging Material</t>
  </si>
  <si>
    <t>Qty/Case</t>
  </si>
  <si>
    <t>Packaging Cost</t>
  </si>
  <si>
    <t>Production Cost</t>
  </si>
  <si>
    <t>Runs per Year</t>
  </si>
  <si>
    <t>Lbs per Run</t>
  </si>
  <si>
    <t>Hours Used</t>
  </si>
  <si>
    <t>Hours Scheduled</t>
  </si>
  <si>
    <t>Cases per Minute</t>
  </si>
  <si>
    <t>Pounds per hour used</t>
  </si>
  <si>
    <t>Pounds per hour scheduled</t>
  </si>
  <si>
    <t>Uptime ratio</t>
  </si>
  <si>
    <t>Pounds per man hour</t>
  </si>
  <si>
    <t>Staffing</t>
  </si>
  <si>
    <t>Labor rate per hour</t>
  </si>
  <si>
    <t>Bags per minute</t>
  </si>
  <si>
    <t>Tortillas Per Package</t>
  </si>
  <si>
    <t>Flour</t>
  </si>
  <si>
    <t>Water</t>
  </si>
  <si>
    <t>Shortening</t>
  </si>
  <si>
    <t>Premix</t>
  </si>
  <si>
    <t>Other Ingredients</t>
  </si>
  <si>
    <t>Dough Relaxer Tabs</t>
  </si>
  <si>
    <t>Theoretical Yield % to Flour</t>
  </si>
  <si>
    <t>Variable Cost</t>
  </si>
  <si>
    <t>Category</t>
  </si>
  <si>
    <t>Electricity</t>
  </si>
  <si>
    <t>Wastewater</t>
  </si>
  <si>
    <t>Pallets</t>
  </si>
  <si>
    <t>Other</t>
  </si>
  <si>
    <t>6 " Press</t>
  </si>
  <si>
    <t>Hours Week</t>
  </si>
  <si>
    <t>Drops per Cycle</t>
  </si>
  <si>
    <t>Cycles Per Minute</t>
  </si>
  <si>
    <t>Tortillas per Minute</t>
  </si>
  <si>
    <t xml:space="preserve"> Lbs Demand Per Week</t>
  </si>
  <si>
    <t>Cost Tortilla</t>
  </si>
  <si>
    <t>Box</t>
  </si>
  <si>
    <t>Bag</t>
  </si>
  <si>
    <t xml:space="preserve">Line </t>
  </si>
  <si>
    <t>Building</t>
  </si>
  <si>
    <t>Fuel/Gas</t>
  </si>
  <si>
    <t>Inbound Frieght</t>
  </si>
  <si>
    <t>10 " Press</t>
  </si>
  <si>
    <t>Yielded Lb</t>
  </si>
  <si>
    <t>Yielded Lb.</t>
  </si>
  <si>
    <t>Press Cost per Line Hr</t>
  </si>
  <si>
    <t>6 " Corn Tortilla</t>
  </si>
  <si>
    <t>Cuts per Cycle</t>
  </si>
  <si>
    <t>Masa Flour</t>
  </si>
  <si>
    <t>Corn Cost per Line Hr</t>
  </si>
  <si>
    <t>Yield to Flour Lbs</t>
  </si>
  <si>
    <t>Yield % with waste</t>
  </si>
  <si>
    <t>6 " Corn Hand Cut Chip</t>
  </si>
  <si>
    <t>Cost 1/4 cut chip</t>
  </si>
  <si>
    <t>Variable $ per line hour</t>
  </si>
  <si>
    <t>Fixed $ per line hour</t>
  </si>
  <si>
    <t>Indirect Labor $ per line hour</t>
  </si>
  <si>
    <t>from .55</t>
  </si>
  <si>
    <t>Base price lbs.</t>
  </si>
  <si>
    <t>Adjusted Price per Lb</t>
  </si>
  <si>
    <t>Savings Lb.</t>
  </si>
  <si>
    <t>Annual Savings</t>
  </si>
  <si>
    <t>Savings - Cubed versus liquid shortening</t>
  </si>
  <si>
    <t>Savings - Tighten giveaway by .25 Oz.</t>
  </si>
  <si>
    <t>Savings - Decrease Staffing 1</t>
  </si>
  <si>
    <t>Savings - Increase Cycle Rate 1 per minute</t>
  </si>
  <si>
    <t xml:space="preserve">Double Volume </t>
  </si>
  <si>
    <t>6 " Corn Head Cut Chip</t>
  </si>
  <si>
    <t>Head Cut Chips</t>
  </si>
  <si>
    <t>Total Corn  Lbs</t>
  </si>
  <si>
    <t>Chips per Minute</t>
  </si>
  <si>
    <t>Chips Per Package</t>
  </si>
  <si>
    <t>Grams per chip</t>
  </si>
  <si>
    <t xml:space="preserve"> = 6 oz dozen and 1/4 cut baked chip</t>
  </si>
  <si>
    <t>Total Chip  Lbs</t>
  </si>
  <si>
    <t>Depreciation Schedule Years</t>
  </si>
  <si>
    <t>Depreciation $ Per Year</t>
  </si>
  <si>
    <t>Press Line Fixed Cost Per Hr</t>
  </si>
  <si>
    <t>Corn Line Fixed Cost Per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</si>
</sst>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  <numFmt numFmtId="168" formatCode="_(&quot;$&quot;* #,##0.000_);_(&quot;$&quot;* \(#,##0.000\);_(&quot;$&quot;* &quot;-&quot;??_);_(@_)"/>
    <numFmt numFmtId="169" formatCode="_(&quot;$&quot;* #,##0.0000_);_(&quot;$&quot;* \(#,##0.0000\);_(&quot;$&quot;* &quot;-&quot;??_);_(@_)"/>
    <numFmt numFmtId="170" formatCode="#,##0.0000_);\(#,##0.0000\)"/>
    <numFmt numFmtId="171" formatCode="0.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gency FB"/>
      <family val="2"/>
    </font>
    <font>
      <sz val="16"/>
      <name val="Agency FB"/>
      <family val="2"/>
    </font>
    <font>
      <sz val="16"/>
      <color theme="1"/>
      <name val="Agency FB"/>
      <family val="2"/>
    </font>
    <font>
      <b/>
      <u/>
      <sz val="16"/>
      <name val="Agency FB"/>
      <family val="2"/>
    </font>
    <font>
      <sz val="16"/>
      <color indexed="10"/>
      <name val="Agency FB"/>
      <family val="2"/>
    </font>
    <font>
      <u val="doubleAccounting"/>
      <sz val="16"/>
      <name val="Agency FB"/>
      <family val="2"/>
    </font>
    <font>
      <u/>
      <sz val="16"/>
      <name val="Agency FB"/>
      <family val="2"/>
    </font>
    <font>
      <b/>
      <sz val="16"/>
      <color rgb="FFFF0000"/>
      <name val="Agency FB"/>
      <family val="2"/>
    </font>
    <font>
      <sz val="16"/>
      <color indexed="9"/>
      <name val="Agency FB"/>
      <family val="2"/>
    </font>
    <font>
      <i/>
      <sz val="16"/>
      <name val="Agency FB"/>
      <family val="2"/>
    </font>
    <font>
      <sz val="20"/>
      <name val="Agency FB"/>
      <family val="2"/>
    </font>
    <font>
      <sz val="16"/>
      <color rgb="FFFF0000"/>
      <name val="Agency FB"/>
      <family val="2"/>
    </font>
    <font>
      <sz val="20"/>
      <color indexed="10"/>
      <name val="Agency FB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165" fontId="0" fillId="0" borderId="0" xfId="1" applyNumberFormat="1" applyFont="1"/>
    <xf numFmtId="10" fontId="0" fillId="0" borderId="0" xfId="3" applyNumberFormat="1" applyFont="1"/>
    <xf numFmtId="165" fontId="2" fillId="0" borderId="0" xfId="1" applyNumberFormat="1" applyFont="1"/>
    <xf numFmtId="44" fontId="0" fillId="0" borderId="0" xfId="2" applyFont="1"/>
    <xf numFmtId="167" fontId="2" fillId="0" borderId="0" xfId="2" applyNumberFormat="1" applyFont="1"/>
    <xf numFmtId="167" fontId="0" fillId="0" borderId="0" xfId="2" applyNumberFormat="1" applyFont="1"/>
    <xf numFmtId="0" fontId="0" fillId="0" borderId="0" xfId="0" applyAlignment="1">
      <alignment horizontal="center"/>
    </xf>
    <xf numFmtId="165" fontId="4" fillId="0" borderId="0" xfId="1" applyNumberFormat="1" applyFont="1"/>
    <xf numFmtId="169" fontId="0" fillId="0" borderId="0" xfId="2" applyNumberFormat="1" applyFont="1"/>
    <xf numFmtId="0" fontId="0" fillId="0" borderId="0" xfId="0" applyAlignment="1">
      <alignment horizontal="right"/>
    </xf>
    <xf numFmtId="167" fontId="0" fillId="0" borderId="0" xfId="0" applyNumberFormat="1"/>
    <xf numFmtId="43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165" fontId="5" fillId="0" borderId="0" xfId="1" applyNumberFormat="1" applyFont="1"/>
    <xf numFmtId="165" fontId="3" fillId="0" borderId="0" xfId="1" applyNumberFormat="1" applyFont="1"/>
    <xf numFmtId="43" fontId="3" fillId="0" borderId="0" xfId="1" applyNumberFormat="1" applyFont="1"/>
    <xf numFmtId="167" fontId="3" fillId="0" borderId="0" xfId="0" applyNumberFormat="1" applyFont="1"/>
    <xf numFmtId="169" fontId="3" fillId="0" borderId="0" xfId="2" applyNumberFormat="1" applyFont="1"/>
    <xf numFmtId="44" fontId="3" fillId="0" borderId="0" xfId="2" applyFont="1"/>
    <xf numFmtId="0" fontId="6" fillId="0" borderId="0" xfId="0" applyFont="1"/>
    <xf numFmtId="0" fontId="7" fillId="0" borderId="0" xfId="0" applyFont="1"/>
    <xf numFmtId="0" fontId="8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/>
    <xf numFmtId="0" fontId="8" fillId="0" borderId="0" xfId="0" applyFont="1"/>
    <xf numFmtId="2" fontId="6" fillId="0" borderId="0" xfId="0" applyNumberFormat="1" applyFont="1"/>
    <xf numFmtId="9" fontId="6" fillId="0" borderId="0" xfId="0" applyNumberFormat="1" applyFont="1" applyFill="1" applyBorder="1" applyAlignment="1"/>
    <xf numFmtId="0" fontId="9" fillId="0" borderId="0" xfId="0" applyFont="1"/>
    <xf numFmtId="0" fontId="9" fillId="0" borderId="0" xfId="0" applyFont="1" applyAlignment="1">
      <alignment horizontal="center"/>
    </xf>
    <xf numFmtId="44" fontId="9" fillId="0" borderId="0" xfId="2" applyFont="1" applyAlignment="1">
      <alignment horizontal="center"/>
    </xf>
    <xf numFmtId="39" fontId="9" fillId="0" borderId="0" xfId="0" applyNumberFormat="1" applyFont="1" applyAlignment="1">
      <alignment horizontal="right"/>
    </xf>
    <xf numFmtId="165" fontId="7" fillId="0" borderId="0" xfId="1" applyNumberFormat="1" applyFont="1" applyBorder="1"/>
    <xf numFmtId="0" fontId="7" fillId="0" borderId="0" xfId="0" applyFont="1" applyFill="1"/>
    <xf numFmtId="39" fontId="10" fillId="0" borderId="0" xfId="0" applyNumberFormat="1" applyFont="1" applyFill="1"/>
    <xf numFmtId="10" fontId="7" fillId="0" borderId="0" xfId="3" applyNumberFormat="1" applyFont="1" applyFill="1" applyBorder="1"/>
    <xf numFmtId="170" fontId="10" fillId="0" borderId="0" xfId="0" applyNumberFormat="1" applyFont="1" applyFill="1" applyBorder="1"/>
    <xf numFmtId="170" fontId="7" fillId="0" borderId="0" xfId="0" applyNumberFormat="1" applyFont="1" applyFill="1"/>
    <xf numFmtId="44" fontId="7" fillId="0" borderId="0" xfId="2" applyFont="1" applyFill="1"/>
    <xf numFmtId="169" fontId="7" fillId="0" borderId="0" xfId="2" applyNumberFormat="1" applyFont="1" applyFill="1"/>
    <xf numFmtId="17" fontId="7" fillId="0" borderId="0" xfId="0" applyNumberFormat="1" applyFont="1" applyFill="1"/>
    <xf numFmtId="0" fontId="10" fillId="0" borderId="0" xfId="0" applyFont="1" applyFill="1"/>
    <xf numFmtId="165" fontId="7" fillId="0" borderId="0" xfId="1" applyNumberFormat="1" applyFont="1" applyFill="1"/>
    <xf numFmtId="171" fontId="7" fillId="0" borderId="0" xfId="3" applyNumberFormat="1" applyFont="1" applyFill="1"/>
    <xf numFmtId="43" fontId="7" fillId="0" borderId="0" xfId="1" applyFont="1" applyFill="1"/>
    <xf numFmtId="10" fontId="7" fillId="0" borderId="0" xfId="3" applyNumberFormat="1" applyFont="1" applyFill="1"/>
    <xf numFmtId="43" fontId="10" fillId="0" borderId="0" xfId="1" applyFont="1" applyFill="1"/>
    <xf numFmtId="0" fontId="7" fillId="0" borderId="0" xfId="0" applyFont="1" applyBorder="1"/>
    <xf numFmtId="39" fontId="7" fillId="0" borderId="0" xfId="0" applyNumberFormat="1" applyFont="1" applyFill="1"/>
    <xf numFmtId="1" fontId="10" fillId="0" borderId="0" xfId="3" applyNumberFormat="1" applyFont="1" applyFill="1"/>
    <xf numFmtId="43" fontId="7" fillId="0" borderId="0" xfId="0" applyNumberFormat="1" applyFont="1" applyFill="1"/>
    <xf numFmtId="43" fontId="7" fillId="0" borderId="0" xfId="0" applyNumberFormat="1" applyFont="1"/>
    <xf numFmtId="39" fontId="10" fillId="0" borderId="1" xfId="0" applyNumberFormat="1" applyFont="1" applyFill="1" applyBorder="1"/>
    <xf numFmtId="10" fontId="7" fillId="0" borderId="1" xfId="3" applyNumberFormat="1" applyFont="1" applyFill="1" applyBorder="1"/>
    <xf numFmtId="170" fontId="10" fillId="0" borderId="1" xfId="0" applyNumberFormat="1" applyFont="1" applyFill="1" applyBorder="1"/>
    <xf numFmtId="170" fontId="7" fillId="0" borderId="1" xfId="0" applyNumberFormat="1" applyFont="1" applyFill="1" applyBorder="1"/>
    <xf numFmtId="44" fontId="7" fillId="0" borderId="1" xfId="2" applyFont="1" applyFill="1" applyBorder="1"/>
    <xf numFmtId="39" fontId="10" fillId="0" borderId="0" xfId="0" applyNumberFormat="1" applyFont="1" applyFill="1" applyBorder="1"/>
    <xf numFmtId="44" fontId="10" fillId="0" borderId="0" xfId="2" applyFont="1" applyFill="1"/>
    <xf numFmtId="39" fontId="7" fillId="0" borderId="2" xfId="0" applyNumberFormat="1" applyFont="1" applyBorder="1"/>
    <xf numFmtId="170" fontId="7" fillId="0" borderId="0" xfId="0" applyNumberFormat="1" applyFont="1"/>
    <xf numFmtId="44" fontId="11" fillId="0" borderId="0" xfId="2" applyFont="1"/>
    <xf numFmtId="39" fontId="7" fillId="0" borderId="0" xfId="0" applyNumberFormat="1" applyFont="1"/>
    <xf numFmtId="2" fontId="7" fillId="0" borderId="0" xfId="0" applyNumberFormat="1" applyFont="1"/>
    <xf numFmtId="39" fontId="7" fillId="0" borderId="0" xfId="0" applyNumberFormat="1" applyFont="1" applyBorder="1"/>
    <xf numFmtId="44" fontId="7" fillId="0" borderId="0" xfId="2" applyFont="1"/>
    <xf numFmtId="170" fontId="11" fillId="0" borderId="0" xfId="0" applyNumberFormat="1" applyFont="1"/>
    <xf numFmtId="165" fontId="7" fillId="0" borderId="0" xfId="0" applyNumberFormat="1" applyFont="1"/>
    <xf numFmtId="10" fontId="7" fillId="0" borderId="0" xfId="3" applyNumberFormat="1" applyFont="1"/>
    <xf numFmtId="9" fontId="10" fillId="0" borderId="0" xfId="3" applyFont="1" applyFill="1"/>
    <xf numFmtId="0" fontId="7" fillId="0" borderId="3" xfId="0" applyFont="1" applyBorder="1" applyAlignment="1">
      <alignment horizontal="center"/>
    </xf>
    <xf numFmtId="169" fontId="7" fillId="0" borderId="3" xfId="2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170" fontId="7" fillId="0" borderId="1" xfId="0" applyNumberFormat="1" applyFont="1" applyBorder="1"/>
    <xf numFmtId="168" fontId="7" fillId="0" borderId="1" xfId="2" applyNumberFormat="1" applyFont="1" applyBorder="1"/>
    <xf numFmtId="169" fontId="7" fillId="0" borderId="1" xfId="2" applyNumberFormat="1" applyFont="1" applyBorder="1"/>
    <xf numFmtId="170" fontId="12" fillId="0" borderId="0" xfId="0" applyNumberFormat="1" applyFont="1" applyAlignment="1">
      <alignment horizontal="center"/>
    </xf>
    <xf numFmtId="168" fontId="12" fillId="0" borderId="0" xfId="2" applyNumberFormat="1" applyFont="1" applyAlignment="1">
      <alignment horizontal="center"/>
    </xf>
    <xf numFmtId="169" fontId="12" fillId="0" borderId="0" xfId="2" applyNumberFormat="1" applyFont="1" applyAlignment="1">
      <alignment horizontal="center"/>
    </xf>
    <xf numFmtId="168" fontId="7" fillId="0" borderId="0" xfId="2" applyNumberFormat="1" applyFont="1"/>
    <xf numFmtId="169" fontId="7" fillId="0" borderId="0" xfId="2" applyNumberFormat="1" applyFont="1"/>
    <xf numFmtId="44" fontId="6" fillId="0" borderId="0" xfId="2" applyFont="1"/>
    <xf numFmtId="0" fontId="13" fillId="0" borderId="0" xfId="0" applyFont="1"/>
    <xf numFmtId="0" fontId="7" fillId="0" borderId="0" xfId="0" applyFont="1" applyAlignment="1">
      <alignment horizontal="left" indent="1"/>
    </xf>
    <xf numFmtId="44" fontId="7" fillId="0" borderId="4" xfId="2" applyFont="1" applyBorder="1"/>
    <xf numFmtId="170" fontId="7" fillId="0" borderId="4" xfId="0" applyNumberFormat="1" applyFont="1" applyBorder="1"/>
    <xf numFmtId="168" fontId="7" fillId="0" borderId="4" xfId="2" applyNumberFormat="1" applyFont="1" applyBorder="1"/>
    <xf numFmtId="169" fontId="7" fillId="0" borderId="4" xfId="2" applyNumberFormat="1" applyFont="1" applyBorder="1"/>
    <xf numFmtId="168" fontId="7" fillId="0" borderId="0" xfId="2" applyNumberFormat="1" applyFont="1" applyFill="1"/>
    <xf numFmtId="168" fontId="10" fillId="0" borderId="0" xfId="2" applyNumberFormat="1" applyFont="1" applyFill="1"/>
    <xf numFmtId="0" fontId="7" fillId="0" borderId="0" xfId="0" applyFont="1" applyFill="1" applyAlignment="1">
      <alignment horizontal="left" indent="1"/>
    </xf>
    <xf numFmtId="44" fontId="7" fillId="0" borderId="4" xfId="2" applyFont="1" applyFill="1" applyBorder="1"/>
    <xf numFmtId="170" fontId="7" fillId="0" borderId="4" xfId="0" applyNumberFormat="1" applyFont="1" applyFill="1" applyBorder="1"/>
    <xf numFmtId="168" fontId="7" fillId="0" borderId="4" xfId="2" applyNumberFormat="1" applyFont="1" applyFill="1" applyBorder="1"/>
    <xf numFmtId="169" fontId="7" fillId="0" borderId="4" xfId="2" applyNumberFormat="1" applyFont="1" applyFill="1" applyBorder="1"/>
    <xf numFmtId="0" fontId="7" fillId="0" borderId="0" xfId="0" applyFont="1" applyAlignment="1">
      <alignment horizontal="left"/>
    </xf>
    <xf numFmtId="44" fontId="7" fillId="0" borderId="0" xfId="2" applyFont="1" applyBorder="1"/>
    <xf numFmtId="170" fontId="7" fillId="0" borderId="0" xfId="0" applyNumberFormat="1" applyFont="1" applyBorder="1"/>
    <xf numFmtId="168" fontId="7" fillId="0" borderId="0" xfId="2" applyNumberFormat="1" applyFont="1" applyBorder="1"/>
    <xf numFmtId="169" fontId="7" fillId="0" borderId="0" xfId="2" applyNumberFormat="1" applyFont="1" applyBorder="1"/>
    <xf numFmtId="3" fontId="7" fillId="0" borderId="0" xfId="0" applyNumberFormat="1" applyFont="1"/>
    <xf numFmtId="43" fontId="7" fillId="0" borderId="0" xfId="1" applyFont="1"/>
    <xf numFmtId="0" fontId="14" fillId="0" borderId="0" xfId="0" quotePrefix="1" applyFont="1"/>
    <xf numFmtId="0" fontId="15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2" fontId="13" fillId="0" borderId="0" xfId="0" applyNumberFormat="1" applyFont="1"/>
    <xf numFmtId="164" fontId="7" fillId="0" borderId="0" xfId="1" applyNumberFormat="1" applyFont="1" applyFill="1"/>
    <xf numFmtId="166" fontId="7" fillId="0" borderId="0" xfId="3" applyNumberFormat="1" applyFont="1" applyFill="1"/>
    <xf numFmtId="170" fontId="7" fillId="0" borderId="0" xfId="0" applyNumberFormat="1" applyFont="1" applyFill="1" applyBorder="1"/>
    <xf numFmtId="10" fontId="16" fillId="0" borderId="0" xfId="3" applyNumberFormat="1" applyFont="1" applyFill="1"/>
    <xf numFmtId="0" fontId="16" fillId="0" borderId="0" xfId="0" applyFont="1" applyFill="1"/>
    <xf numFmtId="39" fontId="16" fillId="0" borderId="0" xfId="0" applyNumberFormat="1" applyFont="1" applyFill="1"/>
    <xf numFmtId="10" fontId="16" fillId="0" borderId="0" xfId="3" applyNumberFormat="1" applyFont="1" applyFill="1" applyBorder="1"/>
    <xf numFmtId="170" fontId="16" fillId="0" borderId="0" xfId="0" applyNumberFormat="1" applyFont="1" applyFill="1" applyBorder="1"/>
    <xf numFmtId="170" fontId="16" fillId="0" borderId="0" xfId="0" applyNumberFormat="1" applyFont="1" applyFill="1"/>
    <xf numFmtId="44" fontId="16" fillId="0" borderId="0" xfId="2" applyFont="1" applyFill="1"/>
    <xf numFmtId="169" fontId="16" fillId="0" borderId="0" xfId="2" applyNumberFormat="1" applyFont="1" applyFill="1"/>
    <xf numFmtId="165" fontId="8" fillId="0" borderId="0" xfId="1" applyNumberFormat="1" applyFont="1"/>
    <xf numFmtId="44" fontId="8" fillId="0" borderId="0" xfId="2" applyFont="1"/>
    <xf numFmtId="169" fontId="8" fillId="0" borderId="0" xfId="2" applyNumberFormat="1" applyFont="1"/>
    <xf numFmtId="39" fontId="17" fillId="0" borderId="0" xfId="0" applyNumberFormat="1" applyFont="1" applyFill="1"/>
    <xf numFmtId="170" fontId="17" fillId="0" borderId="0" xfId="0" applyNumberFormat="1" applyFont="1" applyFill="1" applyBorder="1"/>
    <xf numFmtId="0" fontId="16" fillId="0" borderId="0" xfId="0" applyFont="1"/>
    <xf numFmtId="9" fontId="18" fillId="0" borderId="0" xfId="3" applyFont="1" applyFill="1"/>
    <xf numFmtId="43" fontId="18" fillId="0" borderId="0" xfId="1" applyFont="1" applyFill="1"/>
    <xf numFmtId="0" fontId="16" fillId="0" borderId="0" xfId="0" applyFont="1" applyBorder="1"/>
    <xf numFmtId="1" fontId="18" fillId="0" borderId="0" xfId="3" applyNumberFormat="1" applyFont="1" applyFill="1"/>
    <xf numFmtId="165" fontId="16" fillId="0" borderId="0" xfId="1" applyNumberFormat="1" applyFont="1" applyBorder="1"/>
    <xf numFmtId="10" fontId="16" fillId="0" borderId="0" xfId="3" applyNumberFormat="1" applyFont="1"/>
    <xf numFmtId="165" fontId="13" fillId="0" borderId="0" xfId="1" applyNumberFormat="1" applyFont="1"/>
    <xf numFmtId="164" fontId="16" fillId="0" borderId="0" xfId="1" applyNumberFormat="1" applyFont="1" applyFill="1"/>
    <xf numFmtId="43" fontId="16" fillId="0" borderId="0" xfId="1" applyFont="1" applyFill="1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2" applyFont="1" applyBorder="1"/>
    <xf numFmtId="0" fontId="3" fillId="0" borderId="1" xfId="0" applyFont="1" applyBorder="1" applyAlignment="1">
      <alignment horizontal="center"/>
    </xf>
    <xf numFmtId="44" fontId="3" fillId="0" borderId="0" xfId="0" applyNumberFormat="1" applyFont="1" applyAlignment="1">
      <alignment horizontal="center"/>
    </xf>
    <xf numFmtId="44" fontId="3" fillId="0" borderId="1" xfId="2" applyFont="1" applyBorder="1" applyAlignment="1">
      <alignment horizontal="center"/>
    </xf>
    <xf numFmtId="0" fontId="19" fillId="0" borderId="0" xfId="0" applyFont="1"/>
    <xf numFmtId="44" fontId="19" fillId="0" borderId="0" xfId="2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opLeftCell="A9" workbookViewId="0">
      <selection activeCell="I25" sqref="I25"/>
    </sheetView>
  </sheetViews>
  <sheetFormatPr defaultRowHeight="14.25" x14ac:dyDescent="0.45"/>
  <cols>
    <col min="4" max="4" width="13.265625" bestFit="1" customWidth="1"/>
    <col min="7" max="7" width="14.86328125" customWidth="1"/>
    <col min="8" max="8" width="10.59765625" bestFit="1" customWidth="1"/>
    <col min="9" max="9" width="15.86328125" customWidth="1"/>
  </cols>
  <sheetData>
    <row r="1" spans="1:9" x14ac:dyDescent="0.45">
      <c r="A1" s="13" t="s">
        <v>14</v>
      </c>
    </row>
    <row r="3" spans="1:9" x14ac:dyDescent="0.45">
      <c r="D3" t="s">
        <v>0</v>
      </c>
    </row>
    <row r="4" spans="1:9" x14ac:dyDescent="0.45">
      <c r="D4">
        <v>1</v>
      </c>
      <c r="E4" t="s">
        <v>1</v>
      </c>
    </row>
    <row r="5" spans="1:9" x14ac:dyDescent="0.45">
      <c r="D5">
        <v>1</v>
      </c>
      <c r="E5" t="s">
        <v>2</v>
      </c>
    </row>
    <row r="7" spans="1:9" x14ac:dyDescent="0.45">
      <c r="D7" t="s">
        <v>3</v>
      </c>
    </row>
    <row r="8" spans="1:9" x14ac:dyDescent="0.45">
      <c r="D8">
        <v>1</v>
      </c>
      <c r="E8" t="s">
        <v>7</v>
      </c>
    </row>
    <row r="9" spans="1:9" x14ac:dyDescent="0.45">
      <c r="D9">
        <v>1</v>
      </c>
      <c r="E9" t="s">
        <v>6</v>
      </c>
    </row>
    <row r="10" spans="1:9" x14ac:dyDescent="0.45">
      <c r="D10">
        <v>1</v>
      </c>
      <c r="E10" t="s">
        <v>4</v>
      </c>
    </row>
    <row r="11" spans="1:9" x14ac:dyDescent="0.45">
      <c r="D11">
        <v>1</v>
      </c>
      <c r="E11" t="s">
        <v>5</v>
      </c>
    </row>
    <row r="14" spans="1:9" x14ac:dyDescent="0.45">
      <c r="B14" s="13"/>
      <c r="C14" s="13"/>
      <c r="D14" s="13" t="s">
        <v>8</v>
      </c>
      <c r="E14" s="13"/>
      <c r="F14" s="13" t="s">
        <v>37</v>
      </c>
      <c r="G14" s="13" t="s">
        <v>40</v>
      </c>
      <c r="H14" s="13" t="s">
        <v>38</v>
      </c>
      <c r="I14" s="13" t="s">
        <v>39</v>
      </c>
    </row>
    <row r="15" spans="1:9" x14ac:dyDescent="0.45">
      <c r="C15" s="10" t="s">
        <v>7</v>
      </c>
      <c r="D15" s="3">
        <v>1500000</v>
      </c>
      <c r="F15" s="1">
        <f>+D15/52</f>
        <v>28846.153846153848</v>
      </c>
      <c r="G15" s="8">
        <f>+'Press 6.5 in'!C16</f>
        <v>1265.625</v>
      </c>
      <c r="H15" s="12">
        <f>+F15/G15</f>
        <v>22.792022792022792</v>
      </c>
      <c r="I15" s="1">
        <f>+H15*52</f>
        <v>1185.1851851851852</v>
      </c>
    </row>
    <row r="16" spans="1:9" x14ac:dyDescent="0.45">
      <c r="C16" s="10" t="s">
        <v>6</v>
      </c>
      <c r="D16" s="3">
        <v>1500000</v>
      </c>
      <c r="F16" s="1">
        <f>+D16/52</f>
        <v>28846.153846153848</v>
      </c>
      <c r="G16" s="8">
        <f>+'Press 10in'!C16</f>
        <v>2025</v>
      </c>
      <c r="H16" s="12">
        <f t="shared" ref="H16:H19" si="0">+F16/G16</f>
        <v>14.245014245014247</v>
      </c>
      <c r="I16" s="1">
        <f t="shared" ref="I16:I21" si="1">+H16*52</f>
        <v>740.74074074074088</v>
      </c>
    </row>
    <row r="17" spans="1:9" x14ac:dyDescent="0.45">
      <c r="B17" s="13"/>
      <c r="C17" s="14" t="s">
        <v>17</v>
      </c>
      <c r="D17" s="15">
        <f>+D15+D16</f>
        <v>3000000</v>
      </c>
      <c r="E17" s="13"/>
      <c r="F17" s="16">
        <f>+F15+F16</f>
        <v>57692.307692307695</v>
      </c>
      <c r="G17" s="16">
        <f>+F17/H17</f>
        <v>1557.6923076923076</v>
      </c>
      <c r="H17" s="17">
        <f>+H15+H16</f>
        <v>37.037037037037038</v>
      </c>
      <c r="I17" s="16">
        <f t="shared" si="1"/>
        <v>1925.9259259259261</v>
      </c>
    </row>
    <row r="18" spans="1:9" x14ac:dyDescent="0.45">
      <c r="C18" s="10" t="s">
        <v>4</v>
      </c>
      <c r="D18" s="3">
        <v>1500000</v>
      </c>
      <c r="F18" s="1">
        <f>+D18/52</f>
        <v>28846.153846153848</v>
      </c>
      <c r="G18" s="8">
        <f>+'Corn 6 In'!C16</f>
        <v>1518.75</v>
      </c>
      <c r="H18" s="12">
        <f t="shared" si="0"/>
        <v>18.99335232668566</v>
      </c>
      <c r="I18" s="1">
        <f t="shared" si="1"/>
        <v>987.65432098765427</v>
      </c>
    </row>
    <row r="19" spans="1:9" x14ac:dyDescent="0.45">
      <c r="C19" s="10" t="s">
        <v>5</v>
      </c>
      <c r="D19" s="3">
        <v>1500000</v>
      </c>
      <c r="F19" s="1">
        <f>+D19/52</f>
        <v>28846.153846153848</v>
      </c>
      <c r="G19" s="8">
        <f>+'HC Chips'!C16</f>
        <v>911.25</v>
      </c>
      <c r="H19" s="12">
        <f t="shared" si="0"/>
        <v>31.65558721114277</v>
      </c>
      <c r="I19" s="1">
        <f t="shared" si="1"/>
        <v>1646.0905349794241</v>
      </c>
    </row>
    <row r="20" spans="1:9" x14ac:dyDescent="0.45">
      <c r="B20" s="13"/>
      <c r="C20" s="14" t="s">
        <v>18</v>
      </c>
      <c r="D20" s="15">
        <f>+D18+D19</f>
        <v>3000000</v>
      </c>
      <c r="E20" s="13"/>
      <c r="F20" s="16">
        <f>+D20/52</f>
        <v>57692.307692307695</v>
      </c>
      <c r="G20" s="16">
        <f>+F20/H20</f>
        <v>1139.0625</v>
      </c>
      <c r="H20" s="17">
        <f>+H18+H19</f>
        <v>50.648939537828426</v>
      </c>
      <c r="I20" s="16">
        <f t="shared" si="1"/>
        <v>2633.7448559670784</v>
      </c>
    </row>
    <row r="21" spans="1:9" x14ac:dyDescent="0.45">
      <c r="B21" s="13"/>
      <c r="C21" s="13" t="s">
        <v>10</v>
      </c>
      <c r="D21" s="16">
        <f>+D20+D17</f>
        <v>6000000</v>
      </c>
      <c r="E21" s="13"/>
      <c r="F21" s="16">
        <f>+F20+F17</f>
        <v>115384.61538461539</v>
      </c>
      <c r="G21" s="16">
        <f>+F21/H21</f>
        <v>1315.884476534296</v>
      </c>
      <c r="H21" s="17">
        <f>+H20+H17</f>
        <v>87.685976574865464</v>
      </c>
      <c r="I21" s="16">
        <f t="shared" si="1"/>
        <v>4559.6707818930045</v>
      </c>
    </row>
    <row r="22" spans="1:9" x14ac:dyDescent="0.45">
      <c r="D22" s="1"/>
    </row>
    <row r="23" spans="1:9" x14ac:dyDescent="0.45">
      <c r="D23" t="s">
        <v>11</v>
      </c>
    </row>
    <row r="24" spans="1:9" x14ac:dyDescent="0.45">
      <c r="D24" s="2">
        <f>+D17/D21</f>
        <v>0.5</v>
      </c>
      <c r="E24" t="s">
        <v>12</v>
      </c>
    </row>
    <row r="25" spans="1:9" x14ac:dyDescent="0.45">
      <c r="D25" s="2">
        <f>+D20/D21</f>
        <v>0.5</v>
      </c>
      <c r="E25" t="s">
        <v>13</v>
      </c>
    </row>
    <row r="29" spans="1:9" x14ac:dyDescent="0.45">
      <c r="A29" t="s">
        <v>19</v>
      </c>
    </row>
    <row r="30" spans="1:9" x14ac:dyDescent="0.45">
      <c r="A30" t="s">
        <v>20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65"/>
  <sheetViews>
    <sheetView topLeftCell="A22" workbookViewId="0">
      <selection activeCell="L8" sqref="L8"/>
    </sheetView>
  </sheetViews>
  <sheetFormatPr defaultColWidth="9.1328125" defaultRowHeight="20.65" x14ac:dyDescent="0.55000000000000004"/>
  <cols>
    <col min="1" max="1" width="9.1328125" style="26"/>
    <col min="2" max="2" width="25.3984375" style="26" customWidth="1"/>
    <col min="3" max="3" width="18.1328125" style="26" customWidth="1"/>
    <col min="4" max="4" width="14.86328125" style="26" bestFit="1" customWidth="1"/>
    <col min="5" max="5" width="9.3984375" style="26" bestFit="1" customWidth="1"/>
    <col min="6" max="6" width="10" style="26" bestFit="1" customWidth="1"/>
    <col min="7" max="7" width="9.1328125" style="26"/>
    <col min="8" max="8" width="19.86328125" style="26" customWidth="1"/>
    <col min="9" max="9" width="16.1328125" style="26" bestFit="1" customWidth="1"/>
    <col min="10" max="10" width="11.265625" style="26" bestFit="1" customWidth="1"/>
    <col min="11" max="11" width="9.86328125" style="26" bestFit="1" customWidth="1"/>
    <col min="12" max="12" width="11.73046875" style="26" customWidth="1"/>
    <col min="13" max="13" width="6" style="26" customWidth="1"/>
    <col min="14" max="14" width="11.3984375" style="26" customWidth="1"/>
    <col min="15" max="15" width="18.73046875" style="26" customWidth="1"/>
    <col min="16" max="16" width="13.3984375" style="26" customWidth="1"/>
    <col min="17" max="17" width="9.265625" style="26" bestFit="1" customWidth="1"/>
    <col min="18" max="16384" width="9.1328125" style="26"/>
  </cols>
  <sheetData>
    <row r="1" spans="1:17" x14ac:dyDescent="0.55000000000000004">
      <c r="B1" s="21" t="s">
        <v>50</v>
      </c>
      <c r="C1" s="83" t="s">
        <v>99</v>
      </c>
      <c r="D1" s="22"/>
      <c r="E1" s="22" t="s">
        <v>133</v>
      </c>
      <c r="F1" s="23"/>
      <c r="G1" s="24"/>
      <c r="H1" s="24"/>
      <c r="I1" s="24"/>
      <c r="J1" s="25"/>
      <c r="K1" s="22"/>
    </row>
    <row r="2" spans="1:17" x14ac:dyDescent="0.55000000000000004">
      <c r="B2" s="21" t="s">
        <v>51</v>
      </c>
      <c r="C2" s="27">
        <f>+(C4*C5)/12*C3/16</f>
        <v>15.625</v>
      </c>
      <c r="D2" s="22"/>
      <c r="E2" s="22"/>
      <c r="F2" s="28"/>
      <c r="G2" s="28"/>
      <c r="H2" s="29" t="s">
        <v>54</v>
      </c>
      <c r="I2" s="29"/>
      <c r="J2" s="30" t="s">
        <v>55</v>
      </c>
      <c r="K2" s="30" t="s">
        <v>56</v>
      </c>
      <c r="L2" s="30" t="s">
        <v>57</v>
      </c>
      <c r="M2" s="30"/>
      <c r="N2" s="31" t="s">
        <v>58</v>
      </c>
      <c r="O2" s="32" t="s">
        <v>113</v>
      </c>
      <c r="P2" s="21"/>
      <c r="Q2" s="21"/>
    </row>
    <row r="3" spans="1:17" x14ac:dyDescent="0.55000000000000004">
      <c r="B3" s="21" t="s">
        <v>52</v>
      </c>
      <c r="C3" s="106">
        <v>12.5</v>
      </c>
      <c r="D3" s="22"/>
      <c r="E3" s="22"/>
      <c r="F3" s="25"/>
      <c r="G3" s="25"/>
      <c r="H3" s="34" t="s">
        <v>86</v>
      </c>
      <c r="I3" s="34"/>
      <c r="J3" s="35">
        <v>300</v>
      </c>
      <c r="K3" s="36">
        <f>+J3/J3</f>
        <v>1</v>
      </c>
      <c r="L3" s="37">
        <v>0.18</v>
      </c>
      <c r="M3" s="38"/>
      <c r="N3" s="39">
        <f t="shared" ref="N3:N15" si="0">+L3*J3</f>
        <v>54</v>
      </c>
      <c r="O3" s="40">
        <f t="shared" ref="O3:O15" si="1">N3/$C$27</f>
        <v>0.12162162162162163</v>
      </c>
      <c r="P3" s="41"/>
      <c r="Q3" s="34"/>
    </row>
    <row r="4" spans="1:17" x14ac:dyDescent="0.55000000000000004">
      <c r="B4" s="21" t="s">
        <v>53</v>
      </c>
      <c r="C4" s="83">
        <v>20</v>
      </c>
      <c r="D4" s="21"/>
      <c r="E4" s="22"/>
      <c r="F4" s="22"/>
      <c r="G4" s="22"/>
      <c r="H4" s="34"/>
      <c r="I4" s="34"/>
      <c r="J4" s="35"/>
      <c r="K4" s="36"/>
      <c r="L4" s="37"/>
      <c r="M4" s="38"/>
      <c r="N4" s="39">
        <f>+L4*J4</f>
        <v>0</v>
      </c>
      <c r="O4" s="40">
        <f t="shared" si="1"/>
        <v>0</v>
      </c>
      <c r="P4" s="34"/>
      <c r="Q4" s="34"/>
    </row>
    <row r="5" spans="1:17" x14ac:dyDescent="0.55000000000000004">
      <c r="B5" s="21" t="s">
        <v>85</v>
      </c>
      <c r="C5" s="83">
        <v>12</v>
      </c>
      <c r="D5" s="22"/>
      <c r="E5" s="22"/>
      <c r="F5" s="22"/>
      <c r="G5" s="22"/>
      <c r="H5" s="34"/>
      <c r="I5" s="34"/>
      <c r="J5" s="35"/>
      <c r="K5" s="36"/>
      <c r="L5" s="37"/>
      <c r="M5" s="38"/>
      <c r="N5" s="39">
        <f t="shared" si="0"/>
        <v>0</v>
      </c>
      <c r="O5" s="40">
        <f t="shared" si="1"/>
        <v>0</v>
      </c>
      <c r="P5" s="44"/>
      <c r="Q5" s="45"/>
    </row>
    <row r="6" spans="1:17" x14ac:dyDescent="0.55000000000000004">
      <c r="H6" s="34" t="s">
        <v>87</v>
      </c>
      <c r="I6" s="34"/>
      <c r="J6" s="35">
        <v>150</v>
      </c>
      <c r="K6" s="36">
        <f>+J6/J$3</f>
        <v>0.5</v>
      </c>
      <c r="L6" s="37">
        <v>0</v>
      </c>
      <c r="M6" s="38"/>
      <c r="N6" s="39">
        <f t="shared" si="0"/>
        <v>0</v>
      </c>
      <c r="O6" s="40">
        <f t="shared" si="1"/>
        <v>0</v>
      </c>
      <c r="P6" s="41"/>
      <c r="Q6" s="34"/>
    </row>
    <row r="7" spans="1:17" x14ac:dyDescent="0.55000000000000004">
      <c r="A7" s="22" t="s">
        <v>8</v>
      </c>
      <c r="B7" s="22"/>
      <c r="C7" s="33">
        <f>+'Base '!D15</f>
        <v>1500000</v>
      </c>
      <c r="D7" s="22"/>
      <c r="E7" s="22"/>
      <c r="F7" s="22"/>
      <c r="H7" s="46" t="s">
        <v>88</v>
      </c>
      <c r="I7" s="34"/>
      <c r="J7" s="121">
        <v>30</v>
      </c>
      <c r="K7" s="36">
        <f>+J7/J$3</f>
        <v>0.1</v>
      </c>
      <c r="L7" s="122">
        <v>0.55000000000000004</v>
      </c>
      <c r="M7" s="38"/>
      <c r="N7" s="39">
        <f t="shared" si="0"/>
        <v>16.5</v>
      </c>
      <c r="O7" s="40">
        <f t="shared" si="1"/>
        <v>3.7162162162162164E-2</v>
      </c>
      <c r="P7" s="34"/>
      <c r="Q7" s="34"/>
    </row>
    <row r="8" spans="1:17" x14ac:dyDescent="0.55000000000000004">
      <c r="A8" s="22" t="s">
        <v>73</v>
      </c>
      <c r="B8" s="22"/>
      <c r="C8" s="42">
        <v>52</v>
      </c>
      <c r="D8" s="22"/>
      <c r="E8" s="22"/>
      <c r="F8" s="22"/>
      <c r="H8" s="34" t="s">
        <v>89</v>
      </c>
      <c r="I8" s="34"/>
      <c r="J8" s="35">
        <v>24</v>
      </c>
      <c r="K8" s="36">
        <f>+J8/J$3</f>
        <v>0.08</v>
      </c>
      <c r="L8" s="37">
        <v>1.5</v>
      </c>
      <c r="M8" s="38"/>
      <c r="N8" s="39">
        <f t="shared" si="0"/>
        <v>36</v>
      </c>
      <c r="O8" s="40">
        <f t="shared" si="1"/>
        <v>8.1081081081081086E-2</v>
      </c>
      <c r="P8" s="34"/>
      <c r="Q8" s="34"/>
    </row>
    <row r="9" spans="1:17" x14ac:dyDescent="0.55000000000000004">
      <c r="A9" s="22" t="s">
        <v>74</v>
      </c>
      <c r="B9" s="22"/>
      <c r="C9" s="43">
        <f>C7/C8</f>
        <v>28846.153846153848</v>
      </c>
      <c r="D9" s="22"/>
      <c r="E9" s="34"/>
      <c r="F9" s="22"/>
      <c r="H9" s="34" t="s">
        <v>91</v>
      </c>
      <c r="I9" s="34"/>
      <c r="J9" s="35">
        <v>0.1</v>
      </c>
      <c r="K9" s="36">
        <f>+J9/J$3</f>
        <v>3.3333333333333338E-4</v>
      </c>
      <c r="L9" s="37">
        <v>1</v>
      </c>
      <c r="M9" s="38"/>
      <c r="N9" s="39">
        <f t="shared" si="0"/>
        <v>0.1</v>
      </c>
      <c r="O9" s="40">
        <f t="shared" si="1"/>
        <v>2.2522522522522523E-4</v>
      </c>
      <c r="P9" s="34"/>
      <c r="Q9" s="49"/>
    </row>
    <row r="10" spans="1:17" x14ac:dyDescent="0.55000000000000004">
      <c r="A10" s="22" t="s">
        <v>75</v>
      </c>
      <c r="B10" s="22"/>
      <c r="C10" s="43">
        <f>C7/C16</f>
        <v>1185.1851851851852</v>
      </c>
      <c r="D10" s="22"/>
      <c r="E10" s="22"/>
      <c r="F10" s="22"/>
      <c r="H10" s="34" t="s">
        <v>90</v>
      </c>
      <c r="I10" s="34"/>
      <c r="J10" s="35"/>
      <c r="K10" s="36">
        <f>+J10/J$3</f>
        <v>0</v>
      </c>
      <c r="L10" s="37"/>
      <c r="M10" s="38"/>
      <c r="N10" s="39">
        <f t="shared" si="0"/>
        <v>0</v>
      </c>
      <c r="O10" s="40">
        <f t="shared" si="1"/>
        <v>0</v>
      </c>
      <c r="P10" s="34"/>
      <c r="Q10" s="49"/>
    </row>
    <row r="11" spans="1:17" x14ac:dyDescent="0.55000000000000004">
      <c r="A11" s="22" t="s">
        <v>76</v>
      </c>
      <c r="B11" s="22"/>
      <c r="C11" s="43">
        <f>+C7/C17</f>
        <v>1066.6666666666667</v>
      </c>
      <c r="D11" s="22"/>
      <c r="E11" s="22"/>
      <c r="F11" s="22"/>
      <c r="H11" s="46"/>
      <c r="I11" s="34"/>
      <c r="J11" s="35"/>
      <c r="K11" s="36"/>
      <c r="L11" s="37"/>
      <c r="M11" s="38"/>
      <c r="N11" s="39">
        <f t="shared" si="0"/>
        <v>0</v>
      </c>
      <c r="O11" s="40">
        <f t="shared" si="1"/>
        <v>0</v>
      </c>
      <c r="P11" s="34"/>
      <c r="Q11" s="49"/>
    </row>
    <row r="12" spans="1:17" x14ac:dyDescent="0.55000000000000004">
      <c r="A12" s="34" t="s">
        <v>100</v>
      </c>
      <c r="B12" s="34"/>
      <c r="C12" s="45">
        <f>+C11/C8</f>
        <v>20.512820512820515</v>
      </c>
      <c r="D12" s="34"/>
      <c r="E12" s="34"/>
      <c r="F12" s="34"/>
      <c r="H12" s="46"/>
      <c r="I12" s="34"/>
      <c r="J12" s="35"/>
      <c r="K12" s="36"/>
      <c r="L12" s="37"/>
      <c r="M12" s="38"/>
      <c r="N12" s="39">
        <f t="shared" si="0"/>
        <v>0</v>
      </c>
      <c r="O12" s="40">
        <f t="shared" si="1"/>
        <v>0</v>
      </c>
      <c r="P12" s="34"/>
      <c r="Q12" s="49"/>
    </row>
    <row r="13" spans="1:17" x14ac:dyDescent="0.55000000000000004">
      <c r="A13" s="48" t="s">
        <v>101</v>
      </c>
      <c r="B13" s="34"/>
      <c r="C13" s="47">
        <v>24</v>
      </c>
      <c r="D13" s="34"/>
      <c r="E13" s="34"/>
      <c r="F13" s="34"/>
      <c r="H13" s="34"/>
      <c r="I13" s="34"/>
      <c r="J13" s="35"/>
      <c r="K13" s="36"/>
      <c r="L13" s="37"/>
      <c r="M13" s="38"/>
      <c r="N13" s="39">
        <f>+L13*I13</f>
        <v>0</v>
      </c>
      <c r="O13" s="40">
        <f t="shared" si="1"/>
        <v>0</v>
      </c>
      <c r="P13" s="34"/>
      <c r="Q13" s="49"/>
    </row>
    <row r="14" spans="1:17" x14ac:dyDescent="0.55000000000000004">
      <c r="A14" s="48" t="s">
        <v>102</v>
      </c>
      <c r="B14" s="22"/>
      <c r="C14" s="50">
        <v>15</v>
      </c>
      <c r="D14" s="22"/>
      <c r="E14" s="22"/>
      <c r="F14" s="22"/>
      <c r="H14" s="34"/>
      <c r="I14" s="34"/>
      <c r="J14" s="35"/>
      <c r="K14" s="36"/>
      <c r="L14" s="37"/>
      <c r="M14" s="38"/>
      <c r="N14" s="39">
        <f t="shared" si="0"/>
        <v>0</v>
      </c>
      <c r="O14" s="40">
        <f t="shared" si="1"/>
        <v>0</v>
      </c>
      <c r="P14" s="34"/>
      <c r="Q14" s="49"/>
    </row>
    <row r="15" spans="1:17" x14ac:dyDescent="0.55000000000000004">
      <c r="A15" s="22" t="s">
        <v>103</v>
      </c>
      <c r="B15" s="22"/>
      <c r="C15" s="107">
        <f>+C13*C14</f>
        <v>360</v>
      </c>
      <c r="D15" s="22"/>
      <c r="E15" s="22" t="s">
        <v>77</v>
      </c>
      <c r="F15" s="22"/>
      <c r="H15" s="34"/>
      <c r="I15" s="34"/>
      <c r="J15" s="53"/>
      <c r="K15" s="54"/>
      <c r="L15" s="55"/>
      <c r="M15" s="56"/>
      <c r="N15" s="57">
        <f t="shared" si="0"/>
        <v>0</v>
      </c>
      <c r="O15" s="40">
        <f t="shared" si="1"/>
        <v>0</v>
      </c>
      <c r="P15" s="34"/>
      <c r="Q15" s="49"/>
    </row>
    <row r="16" spans="1:17" x14ac:dyDescent="0.55000000000000004">
      <c r="A16" s="22" t="s">
        <v>78</v>
      </c>
      <c r="B16" s="22"/>
      <c r="C16" s="45">
        <f>+C17*C18</f>
        <v>1265.625</v>
      </c>
      <c r="D16" s="34"/>
      <c r="E16" s="51"/>
      <c r="F16" s="34"/>
      <c r="H16" s="34"/>
      <c r="I16" s="34"/>
      <c r="J16" s="58"/>
      <c r="K16" s="36"/>
      <c r="L16" s="37"/>
      <c r="M16" s="38"/>
      <c r="N16" s="39"/>
      <c r="O16" s="40"/>
      <c r="P16" s="34"/>
      <c r="Q16" s="49"/>
    </row>
    <row r="17" spans="1:17" ht="23.25" thickBot="1" x14ac:dyDescent="0.9">
      <c r="A17" s="22" t="s">
        <v>79</v>
      </c>
      <c r="B17" s="22"/>
      <c r="C17" s="45">
        <f>+C15/12*C3/16*60</f>
        <v>1406.25</v>
      </c>
      <c r="D17" s="22"/>
      <c r="E17" s="52">
        <f>+C17/C2/60</f>
        <v>1.5</v>
      </c>
      <c r="F17" s="22"/>
      <c r="H17" s="22" t="s">
        <v>60</v>
      </c>
      <c r="I17" s="22"/>
      <c r="J17" s="60">
        <f>SUM(J3:J16)</f>
        <v>504.1</v>
      </c>
      <c r="K17" s="36"/>
      <c r="L17" s="61"/>
      <c r="M17" s="61"/>
      <c r="N17" s="62">
        <f>SUM(N3:N15)</f>
        <v>106.6</v>
      </c>
      <c r="O17" s="40">
        <f>N17/$C$27</f>
        <v>0.24009009009009008</v>
      </c>
      <c r="P17" s="22"/>
      <c r="Q17" s="63"/>
    </row>
    <row r="18" spans="1:17" ht="23.25" thickTop="1" x14ac:dyDescent="0.85">
      <c r="A18" s="22" t="s">
        <v>80</v>
      </c>
      <c r="B18" s="22"/>
      <c r="C18" s="46">
        <v>0.9</v>
      </c>
      <c r="D18" s="22"/>
      <c r="E18" s="52"/>
      <c r="F18" s="22" t="s">
        <v>59</v>
      </c>
      <c r="H18" s="22"/>
      <c r="I18" s="22"/>
      <c r="J18" s="63"/>
      <c r="K18" s="65"/>
      <c r="L18" s="61"/>
      <c r="M18" s="61"/>
      <c r="N18" s="66"/>
      <c r="O18" s="67"/>
      <c r="P18" s="22"/>
      <c r="Q18" s="63"/>
    </row>
    <row r="19" spans="1:17" ht="21" thickBot="1" x14ac:dyDescent="0.6">
      <c r="A19" s="22" t="s">
        <v>81</v>
      </c>
      <c r="B19" s="22"/>
      <c r="C19" s="45">
        <f>C17/C20</f>
        <v>140.625</v>
      </c>
      <c r="D19" s="22"/>
      <c r="E19" s="52"/>
      <c r="F19" s="22"/>
      <c r="H19" s="22"/>
      <c r="I19" s="22"/>
      <c r="J19" s="71" t="s">
        <v>62</v>
      </c>
      <c r="K19" s="71"/>
      <c r="L19" s="71" t="s">
        <v>63</v>
      </c>
      <c r="M19" s="71"/>
      <c r="N19" s="72" t="s">
        <v>64</v>
      </c>
      <c r="O19" s="22"/>
      <c r="P19" s="22"/>
      <c r="Q19" s="73"/>
    </row>
    <row r="20" spans="1:17" x14ac:dyDescent="0.55000000000000004">
      <c r="A20" s="22" t="s">
        <v>82</v>
      </c>
      <c r="B20" s="22"/>
      <c r="C20" s="47">
        <v>10</v>
      </c>
      <c r="D20" s="22"/>
      <c r="E20" s="52"/>
      <c r="F20" s="22"/>
      <c r="H20" s="22" t="s">
        <v>54</v>
      </c>
      <c r="I20" s="22"/>
      <c r="J20" s="74">
        <f>N20*$C$2</f>
        <v>3.7514076576576576</v>
      </c>
      <c r="K20" s="74"/>
      <c r="L20" s="75">
        <f>J20/$C$4</f>
        <v>0.18757038288288289</v>
      </c>
      <c r="M20" s="74"/>
      <c r="N20" s="76">
        <f>+N17/C27</f>
        <v>0.24009009009009008</v>
      </c>
      <c r="O20" s="22"/>
      <c r="P20" s="22"/>
      <c r="Q20" s="73"/>
    </row>
    <row r="21" spans="1:17" x14ac:dyDescent="0.55000000000000004">
      <c r="A21" s="22" t="s">
        <v>83</v>
      </c>
      <c r="B21" s="22"/>
      <c r="C21" s="59">
        <v>12</v>
      </c>
      <c r="D21" s="22"/>
      <c r="F21" s="22"/>
      <c r="H21" s="22"/>
      <c r="I21" s="22"/>
      <c r="J21" s="77"/>
      <c r="K21" s="77"/>
      <c r="L21" s="78"/>
      <c r="M21" s="77"/>
      <c r="N21" s="79"/>
      <c r="O21" s="22"/>
      <c r="P21" s="22"/>
      <c r="Q21" s="73"/>
    </row>
    <row r="22" spans="1:17" x14ac:dyDescent="0.55000000000000004">
      <c r="A22" s="22" t="s">
        <v>84</v>
      </c>
      <c r="B22" s="22"/>
      <c r="C22" s="64">
        <f>+C17/C2*C4/60</f>
        <v>30</v>
      </c>
      <c r="D22" s="22"/>
      <c r="E22" s="52"/>
      <c r="F22" s="22"/>
      <c r="H22" s="22" t="s">
        <v>65</v>
      </c>
      <c r="I22" s="22"/>
      <c r="J22" s="66">
        <f>+N22*C$2</f>
        <v>1.3333333333333333</v>
      </c>
      <c r="K22" s="61"/>
      <c r="L22" s="80">
        <f>+J22/C$4</f>
        <v>6.6666666666666666E-2</v>
      </c>
      <c r="M22" s="61"/>
      <c r="N22" s="81">
        <f>C21/C19</f>
        <v>8.533333333333333E-2</v>
      </c>
      <c r="O22" s="22"/>
      <c r="P22" s="30" t="s">
        <v>115</v>
      </c>
      <c r="Q22" s="30"/>
    </row>
    <row r="23" spans="1:17" x14ac:dyDescent="0.55000000000000004">
      <c r="A23" s="22" t="s">
        <v>104</v>
      </c>
      <c r="B23" s="22"/>
      <c r="C23" s="68">
        <f>C7/52</f>
        <v>28846.153846153848</v>
      </c>
      <c r="D23" s="22"/>
      <c r="E23" s="52"/>
      <c r="F23" s="22"/>
      <c r="H23" s="22" t="s">
        <v>48</v>
      </c>
      <c r="I23" s="22"/>
      <c r="J23" s="66">
        <f>+N23*C$2</f>
        <v>0.74323104693140796</v>
      </c>
      <c r="K23" s="61"/>
      <c r="L23" s="80">
        <f>+J23/C$4</f>
        <v>3.7161552346570398E-2</v>
      </c>
      <c r="M23" s="61"/>
      <c r="N23" s="81">
        <f>+P23/C$17</f>
        <v>4.7566787003610111E-2</v>
      </c>
      <c r="O23" s="22"/>
      <c r="P23" s="82">
        <f>+'Indirect Labor'!I9</f>
        <v>66.890794223826717</v>
      </c>
      <c r="Q23" s="22" t="s">
        <v>126</v>
      </c>
    </row>
    <row r="24" spans="1:17" x14ac:dyDescent="0.55000000000000004">
      <c r="H24" s="22" t="s">
        <v>66</v>
      </c>
      <c r="I24" s="22"/>
      <c r="J24" s="66">
        <f>+N24*C$2</f>
        <v>0.70667870036101077</v>
      </c>
      <c r="K24" s="61"/>
      <c r="L24" s="80">
        <f>+J24/C$4</f>
        <v>3.5333935018050537E-2</v>
      </c>
      <c r="M24" s="61"/>
      <c r="N24" s="81">
        <f>+P24/C$17</f>
        <v>4.5227436823104691E-2</v>
      </c>
      <c r="O24" s="83"/>
      <c r="P24" s="82">
        <f>+'Variable Cost'!I11</f>
        <v>63.601083032490969</v>
      </c>
      <c r="Q24" s="22" t="s">
        <v>124</v>
      </c>
    </row>
    <row r="25" spans="1:17" x14ac:dyDescent="0.55000000000000004">
      <c r="H25" s="22" t="s">
        <v>67</v>
      </c>
      <c r="I25" s="22"/>
      <c r="J25" s="66">
        <f>+N25*C$2</f>
        <v>2.6458245725393739</v>
      </c>
      <c r="K25" s="61"/>
      <c r="L25" s="80">
        <f>+J25/C$4</f>
        <v>0.13229122862696868</v>
      </c>
      <c r="M25" s="61"/>
      <c r="N25" s="81">
        <f>+P25/C$17</f>
        <v>0.16933277264251992</v>
      </c>
      <c r="O25" s="22"/>
      <c r="P25" s="82">
        <f>+'Fixed Cost'!O15</f>
        <v>238.12421152854364</v>
      </c>
      <c r="Q25" s="22" t="s">
        <v>125</v>
      </c>
    </row>
    <row r="26" spans="1:17" x14ac:dyDescent="0.55000000000000004">
      <c r="A26" s="22" t="s">
        <v>61</v>
      </c>
      <c r="B26" s="22"/>
      <c r="C26" s="69">
        <v>0.04</v>
      </c>
      <c r="D26" s="65"/>
      <c r="H26" s="84" t="s">
        <v>68</v>
      </c>
      <c r="I26" s="22"/>
      <c r="J26" s="85">
        <f>SUM(J22:J25)</f>
        <v>5.4290676531651254</v>
      </c>
      <c r="K26" s="86"/>
      <c r="L26" s="87">
        <f>SUM(L22:L25)</f>
        <v>0.27145338265825625</v>
      </c>
      <c r="M26" s="86"/>
      <c r="N26" s="88">
        <f>SUM(N22:N25)</f>
        <v>0.34746032980256802</v>
      </c>
      <c r="O26" s="22"/>
      <c r="P26" s="22"/>
      <c r="Q26" s="22"/>
    </row>
    <row r="27" spans="1:17" x14ac:dyDescent="0.55000000000000004">
      <c r="A27" s="22" t="s">
        <v>120</v>
      </c>
      <c r="B27" s="22"/>
      <c r="C27" s="63">
        <f>+C29*(J3)</f>
        <v>444</v>
      </c>
      <c r="D27" s="63"/>
      <c r="H27" s="22" t="s">
        <v>69</v>
      </c>
      <c r="I27" s="104" t="s">
        <v>70</v>
      </c>
      <c r="J27" s="66"/>
      <c r="K27" s="61"/>
      <c r="L27" s="80"/>
      <c r="M27" s="61"/>
      <c r="N27" s="81"/>
      <c r="O27" s="22"/>
      <c r="P27" s="22"/>
      <c r="Q27" s="22"/>
    </row>
    <row r="28" spans="1:17" ht="25.15" x14ac:dyDescent="0.65">
      <c r="A28" s="123" t="s">
        <v>92</v>
      </c>
      <c r="B28" s="123"/>
      <c r="C28" s="124">
        <v>1.52</v>
      </c>
      <c r="D28" s="63"/>
      <c r="H28" s="105" t="s">
        <v>106</v>
      </c>
      <c r="I28" s="34">
        <v>1</v>
      </c>
      <c r="J28" s="59">
        <v>0.75</v>
      </c>
      <c r="K28" s="39"/>
      <c r="L28" s="89">
        <f>+J28/C4</f>
        <v>3.7499999999999999E-2</v>
      </c>
      <c r="M28" s="39"/>
      <c r="N28" s="40">
        <f>+J28/C2</f>
        <v>4.8000000000000001E-2</v>
      </c>
      <c r="O28" s="22"/>
      <c r="P28" s="22"/>
      <c r="Q28" s="22"/>
    </row>
    <row r="29" spans="1:17" x14ac:dyDescent="0.55000000000000004">
      <c r="A29" s="22" t="s">
        <v>121</v>
      </c>
      <c r="B29" s="22"/>
      <c r="C29" s="108">
        <f>+C28-C26</f>
        <v>1.48</v>
      </c>
      <c r="D29" s="22"/>
      <c r="H29" s="105" t="s">
        <v>107</v>
      </c>
      <c r="I29" s="34">
        <f>+C4</f>
        <v>20</v>
      </c>
      <c r="J29" s="39">
        <f>L29*C4</f>
        <v>1.6</v>
      </c>
      <c r="K29" s="39"/>
      <c r="L29" s="90">
        <v>0.08</v>
      </c>
      <c r="M29" s="39"/>
      <c r="N29" s="40">
        <f>+(L29*C4)/C2</f>
        <v>0.1024</v>
      </c>
      <c r="O29" s="22"/>
      <c r="P29" s="22"/>
      <c r="Q29" s="22"/>
    </row>
    <row r="30" spans="1:17" x14ac:dyDescent="0.55000000000000004">
      <c r="H30" s="91" t="s">
        <v>71</v>
      </c>
      <c r="I30" s="34"/>
      <c r="J30" s="92">
        <f>SUM(J28:J29)</f>
        <v>2.35</v>
      </c>
      <c r="K30" s="93"/>
      <c r="L30" s="94">
        <f>SUM(L28:L29)</f>
        <v>0.11749999999999999</v>
      </c>
      <c r="M30" s="93"/>
      <c r="N30" s="95">
        <f>SUM(N28:N29)</f>
        <v>0.15040000000000001</v>
      </c>
      <c r="O30" s="22"/>
      <c r="P30" s="22"/>
      <c r="Q30" s="22"/>
    </row>
    <row r="31" spans="1:17" x14ac:dyDescent="0.55000000000000004">
      <c r="H31" s="34"/>
      <c r="I31" s="34"/>
      <c r="J31" s="39"/>
      <c r="K31" s="38"/>
      <c r="L31" s="89"/>
      <c r="M31" s="38"/>
      <c r="N31" s="40"/>
      <c r="O31" s="22"/>
      <c r="P31" s="22" t="s">
        <v>105</v>
      </c>
      <c r="Q31" s="22"/>
    </row>
    <row r="32" spans="1:17" x14ac:dyDescent="0.55000000000000004">
      <c r="H32" s="96" t="s">
        <v>72</v>
      </c>
      <c r="I32" s="22"/>
      <c r="J32" s="85">
        <f>J20+J26+J30</f>
        <v>11.530475310822782</v>
      </c>
      <c r="K32" s="86"/>
      <c r="L32" s="87">
        <f>L20+L26+L30</f>
        <v>0.57652376554113904</v>
      </c>
      <c r="M32" s="86"/>
      <c r="N32" s="88">
        <f>N20+N26+N30</f>
        <v>0.73795041989265808</v>
      </c>
      <c r="O32" s="22"/>
      <c r="P32" s="81">
        <f>+L32/C5</f>
        <v>4.8043647128428256E-2</v>
      </c>
      <c r="Q32" s="22"/>
    </row>
    <row r="33" spans="8:17" x14ac:dyDescent="0.55000000000000004">
      <c r="H33" s="96"/>
      <c r="I33" s="22"/>
      <c r="J33" s="97"/>
      <c r="K33" s="98"/>
      <c r="L33" s="99"/>
      <c r="M33" s="98"/>
      <c r="N33" s="100"/>
      <c r="O33" s="22"/>
      <c r="P33" s="81"/>
      <c r="Q33" s="22"/>
    </row>
    <row r="34" spans="8:17" x14ac:dyDescent="0.55000000000000004">
      <c r="H34" s="26" t="s">
        <v>17</v>
      </c>
      <c r="I34" s="118">
        <f>+'Base '!D15+'Base '!D16</f>
        <v>3000000</v>
      </c>
    </row>
    <row r="35" spans="8:17" x14ac:dyDescent="0.55000000000000004">
      <c r="H35" s="26" t="s">
        <v>128</v>
      </c>
      <c r="I35" s="120">
        <f>+'Press 6.5 in'!N32</f>
        <v>0.74123932523635794</v>
      </c>
    </row>
    <row r="36" spans="8:17" x14ac:dyDescent="0.55000000000000004">
      <c r="H36" s="26" t="s">
        <v>129</v>
      </c>
      <c r="I36" s="120">
        <f>+N32</f>
        <v>0.73795041989265808</v>
      </c>
    </row>
    <row r="37" spans="8:17" x14ac:dyDescent="0.55000000000000004">
      <c r="H37" s="26" t="s">
        <v>130</v>
      </c>
      <c r="I37" s="120">
        <f>+I36-I35</f>
        <v>-3.288905343699855E-3</v>
      </c>
    </row>
    <row r="38" spans="8:17" x14ac:dyDescent="0.55000000000000004">
      <c r="H38" s="26" t="s">
        <v>131</v>
      </c>
      <c r="I38" s="119">
        <f>+I37*I34</f>
        <v>-9866.7160310995641</v>
      </c>
    </row>
    <row r="47" spans="8:17" x14ac:dyDescent="0.55000000000000004">
      <c r="H47" s="22"/>
      <c r="I47" s="22"/>
      <c r="J47" s="22"/>
      <c r="K47" s="102"/>
    </row>
    <row r="48" spans="8:17" x14ac:dyDescent="0.55000000000000004">
      <c r="H48" s="22"/>
      <c r="I48" s="22"/>
      <c r="J48" s="22"/>
      <c r="K48" s="22"/>
    </row>
    <row r="49" spans="2:26" x14ac:dyDescent="0.55000000000000004">
      <c r="I49" s="22"/>
      <c r="J49" s="22"/>
      <c r="K49" s="22"/>
    </row>
    <row r="50" spans="2:26" x14ac:dyDescent="0.55000000000000004">
      <c r="H50" s="34"/>
      <c r="I50" s="34"/>
      <c r="J50" s="34"/>
      <c r="K50" s="22"/>
    </row>
    <row r="51" spans="2:26" x14ac:dyDescent="0.55000000000000004">
      <c r="H51" s="34"/>
      <c r="I51" s="34"/>
      <c r="J51" s="34"/>
      <c r="K51" s="22"/>
    </row>
    <row r="52" spans="2:26" x14ac:dyDescent="0.55000000000000004">
      <c r="H52" s="22"/>
      <c r="I52" s="22"/>
      <c r="J52" s="22"/>
      <c r="K52" s="103">
        <v>36</v>
      </c>
    </row>
    <row r="53" spans="2:26" x14ac:dyDescent="0.55000000000000004">
      <c r="H53" s="22"/>
      <c r="I53" s="22"/>
      <c r="J53" s="22"/>
      <c r="K53" s="103">
        <v>24</v>
      </c>
    </row>
    <row r="54" spans="2:26" x14ac:dyDescent="0.55000000000000004">
      <c r="H54" s="34"/>
      <c r="I54" s="34"/>
      <c r="J54" s="22"/>
      <c r="K54" s="103">
        <v>25</v>
      </c>
    </row>
    <row r="55" spans="2:26" x14ac:dyDescent="0.55000000000000004">
      <c r="H55" s="34"/>
      <c r="I55" s="34"/>
      <c r="J55" s="22"/>
      <c r="K55" s="103">
        <v>26</v>
      </c>
    </row>
    <row r="56" spans="2:26" x14ac:dyDescent="0.55000000000000004">
      <c r="I56" s="22"/>
      <c r="J56" s="22"/>
      <c r="K56" s="103">
        <v>27</v>
      </c>
    </row>
    <row r="57" spans="2:26" x14ac:dyDescent="0.55000000000000004">
      <c r="H57" s="22"/>
      <c r="I57" s="22"/>
      <c r="J57" s="22"/>
      <c r="K57" s="103">
        <v>28</v>
      </c>
    </row>
    <row r="58" spans="2:26" x14ac:dyDescent="0.55000000000000004">
      <c r="H58" s="22"/>
      <c r="I58" s="22"/>
      <c r="J58" s="22"/>
      <c r="K58" s="103">
        <v>29</v>
      </c>
    </row>
    <row r="59" spans="2:26" x14ac:dyDescent="0.55000000000000004">
      <c r="I59" s="22"/>
      <c r="J59" s="22"/>
      <c r="K59" s="103">
        <v>30</v>
      </c>
    </row>
    <row r="60" spans="2:26" x14ac:dyDescent="0.55000000000000004">
      <c r="H60" s="22"/>
      <c r="I60" s="22"/>
      <c r="J60" s="22"/>
      <c r="K60" s="103">
        <v>31</v>
      </c>
    </row>
    <row r="61" spans="2:26" x14ac:dyDescent="0.55000000000000004">
      <c r="H61" s="22"/>
      <c r="I61" s="22"/>
      <c r="J61" s="22"/>
      <c r="K61" s="103">
        <v>32</v>
      </c>
    </row>
    <row r="62" spans="2:26" x14ac:dyDescent="0.55000000000000004">
      <c r="H62" s="22"/>
      <c r="I62" s="22"/>
      <c r="J62" s="22"/>
      <c r="K62" s="103">
        <v>33</v>
      </c>
    </row>
    <row r="63" spans="2:26" x14ac:dyDescent="0.55000000000000004">
      <c r="B63" s="22"/>
      <c r="C63" s="22"/>
      <c r="D63" s="52"/>
      <c r="E63" s="22"/>
      <c r="F63" s="52"/>
      <c r="G63" s="22"/>
      <c r="H63" s="22"/>
      <c r="I63" s="22"/>
      <c r="J63" s="22"/>
      <c r="K63" s="103">
        <v>34</v>
      </c>
    </row>
    <row r="64" spans="2:26" x14ac:dyDescent="0.55000000000000004">
      <c r="B64" s="22"/>
      <c r="C64" s="22"/>
      <c r="D64" s="22"/>
      <c r="E64" s="22"/>
      <c r="F64" s="52"/>
      <c r="G64" s="22"/>
      <c r="H64" s="22"/>
      <c r="I64" s="22"/>
      <c r="J64" s="22"/>
      <c r="K64" s="103">
        <v>35</v>
      </c>
      <c r="W64" s="22"/>
      <c r="X64" s="22"/>
      <c r="Y64" s="22"/>
      <c r="Z64" s="22"/>
    </row>
    <row r="65" spans="2:26" x14ac:dyDescent="0.55000000000000004">
      <c r="B65" s="22"/>
      <c r="C65" s="22"/>
      <c r="D65" s="22"/>
      <c r="E65" s="22"/>
      <c r="F65" s="52"/>
      <c r="G65" s="22"/>
      <c r="H65" s="22"/>
      <c r="I65" s="22"/>
      <c r="J65" s="22"/>
      <c r="W65" s="22"/>
      <c r="X65" s="22"/>
      <c r="Y65" s="22"/>
      <c r="Z65" s="10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65"/>
  <sheetViews>
    <sheetView topLeftCell="A19" workbookViewId="0">
      <selection activeCell="F20" sqref="F20"/>
    </sheetView>
  </sheetViews>
  <sheetFormatPr defaultColWidth="9.1328125" defaultRowHeight="20.65" x14ac:dyDescent="0.55000000000000004"/>
  <cols>
    <col min="1" max="1" width="9.1328125" style="26"/>
    <col min="2" max="2" width="21.73046875" style="26" customWidth="1"/>
    <col min="3" max="3" width="18.1328125" style="26" customWidth="1"/>
    <col min="4" max="4" width="14.86328125" style="26" bestFit="1" customWidth="1"/>
    <col min="5" max="5" width="9.3984375" style="26" bestFit="1" customWidth="1"/>
    <col min="6" max="6" width="10" style="26" bestFit="1" customWidth="1"/>
    <col min="7" max="7" width="9.1328125" style="26"/>
    <col min="8" max="8" width="19.86328125" style="26" customWidth="1"/>
    <col min="9" max="9" width="16.1328125" style="26" bestFit="1" customWidth="1"/>
    <col min="10" max="10" width="11.265625" style="26" bestFit="1" customWidth="1"/>
    <col min="11" max="11" width="9.86328125" style="26" bestFit="1" customWidth="1"/>
    <col min="12" max="12" width="11.73046875" style="26" customWidth="1"/>
    <col min="13" max="13" width="6" style="26" customWidth="1"/>
    <col min="14" max="14" width="11.3984375" style="26" customWidth="1"/>
    <col min="15" max="15" width="18.73046875" style="26" customWidth="1"/>
    <col min="16" max="16" width="13.3984375" style="26" customWidth="1"/>
    <col min="17" max="17" width="9.265625" style="26" bestFit="1" customWidth="1"/>
    <col min="18" max="16384" width="9.1328125" style="26"/>
  </cols>
  <sheetData>
    <row r="1" spans="1:17" x14ac:dyDescent="0.55000000000000004">
      <c r="B1" s="21" t="s">
        <v>50</v>
      </c>
      <c r="C1" s="83" t="s">
        <v>99</v>
      </c>
      <c r="D1" s="22"/>
      <c r="E1" s="22" t="s">
        <v>134</v>
      </c>
      <c r="F1" s="23"/>
      <c r="G1" s="24"/>
      <c r="H1" s="24"/>
      <c r="I1" s="24"/>
      <c r="J1" s="25"/>
      <c r="K1" s="22"/>
    </row>
    <row r="2" spans="1:17" x14ac:dyDescent="0.55000000000000004">
      <c r="B2" s="21" t="s">
        <v>51</v>
      </c>
      <c r="C2" s="27">
        <f>+(C4*C5)/12*C3/16</f>
        <v>15.625</v>
      </c>
      <c r="D2" s="22"/>
      <c r="E2" s="22"/>
      <c r="F2" s="28"/>
      <c r="G2" s="28"/>
      <c r="H2" s="29" t="s">
        <v>54</v>
      </c>
      <c r="I2" s="29"/>
      <c r="J2" s="30" t="s">
        <v>55</v>
      </c>
      <c r="K2" s="30" t="s">
        <v>56</v>
      </c>
      <c r="L2" s="30" t="s">
        <v>57</v>
      </c>
      <c r="M2" s="30"/>
      <c r="N2" s="31" t="s">
        <v>58</v>
      </c>
      <c r="O2" s="32" t="s">
        <v>113</v>
      </c>
      <c r="P2" s="21"/>
      <c r="Q2" s="21"/>
    </row>
    <row r="3" spans="1:17" x14ac:dyDescent="0.55000000000000004">
      <c r="B3" s="21" t="s">
        <v>52</v>
      </c>
      <c r="C3" s="106">
        <v>12.5</v>
      </c>
      <c r="D3" s="22"/>
      <c r="E3" s="22"/>
      <c r="F3" s="25"/>
      <c r="G3" s="25"/>
      <c r="H3" s="34" t="s">
        <v>86</v>
      </c>
      <c r="I3" s="34"/>
      <c r="J3" s="35">
        <v>300</v>
      </c>
      <c r="K3" s="36">
        <f>+J3/J3</f>
        <v>1</v>
      </c>
      <c r="L3" s="37">
        <v>0.18</v>
      </c>
      <c r="M3" s="38"/>
      <c r="N3" s="39">
        <f t="shared" ref="N3:N15" si="0">+L3*J3</f>
        <v>54</v>
      </c>
      <c r="O3" s="40">
        <f t="shared" ref="O3:O15" si="1">N3/$C$27</f>
        <v>0.12328767123287671</v>
      </c>
      <c r="P3" s="41"/>
      <c r="Q3" s="34"/>
    </row>
    <row r="4" spans="1:17" x14ac:dyDescent="0.55000000000000004">
      <c r="B4" s="21" t="s">
        <v>53</v>
      </c>
      <c r="C4" s="83">
        <v>20</v>
      </c>
      <c r="D4" s="21"/>
      <c r="E4" s="22"/>
      <c r="F4" s="22"/>
      <c r="G4" s="22"/>
      <c r="H4" s="34"/>
      <c r="I4" s="34"/>
      <c r="J4" s="35"/>
      <c r="K4" s="36"/>
      <c r="L4" s="37"/>
      <c r="M4" s="38"/>
      <c r="N4" s="39">
        <f>+L4*J4</f>
        <v>0</v>
      </c>
      <c r="O4" s="40">
        <f t="shared" si="1"/>
        <v>0</v>
      </c>
      <c r="P4" s="34"/>
      <c r="Q4" s="34"/>
    </row>
    <row r="5" spans="1:17" x14ac:dyDescent="0.55000000000000004">
      <c r="B5" s="21" t="s">
        <v>85</v>
      </c>
      <c r="C5" s="83">
        <v>12</v>
      </c>
      <c r="D5" s="22"/>
      <c r="E5" s="22"/>
      <c r="F5" s="22"/>
      <c r="G5" s="22"/>
      <c r="H5" s="34"/>
      <c r="I5" s="34"/>
      <c r="J5" s="35"/>
      <c r="K5" s="36"/>
      <c r="L5" s="37"/>
      <c r="M5" s="38"/>
      <c r="N5" s="39">
        <f t="shared" si="0"/>
        <v>0</v>
      </c>
      <c r="O5" s="40">
        <f t="shared" si="1"/>
        <v>0</v>
      </c>
      <c r="P5" s="44"/>
      <c r="Q5" s="45"/>
    </row>
    <row r="6" spans="1:17" x14ac:dyDescent="0.55000000000000004">
      <c r="H6" s="34" t="s">
        <v>87</v>
      </c>
      <c r="I6" s="34"/>
      <c r="J6" s="35">
        <v>150</v>
      </c>
      <c r="K6" s="36">
        <f>+J6/J$3</f>
        <v>0.5</v>
      </c>
      <c r="L6" s="37">
        <v>0</v>
      </c>
      <c r="M6" s="38"/>
      <c r="N6" s="39">
        <f t="shared" si="0"/>
        <v>0</v>
      </c>
      <c r="O6" s="40">
        <f t="shared" si="1"/>
        <v>0</v>
      </c>
      <c r="P6" s="41"/>
      <c r="Q6" s="34"/>
    </row>
    <row r="7" spans="1:17" x14ac:dyDescent="0.55000000000000004">
      <c r="A7" s="22" t="s">
        <v>8</v>
      </c>
      <c r="B7" s="22"/>
      <c r="C7" s="33">
        <f>+'Base '!D15</f>
        <v>1500000</v>
      </c>
      <c r="D7" s="22"/>
      <c r="E7" s="22"/>
      <c r="F7" s="22"/>
      <c r="H7" s="46" t="s">
        <v>88</v>
      </c>
      <c r="I7" s="34"/>
      <c r="J7" s="49">
        <v>30</v>
      </c>
      <c r="K7" s="36">
        <f>+J7/J$3</f>
        <v>0.1</v>
      </c>
      <c r="L7" s="109">
        <v>0.55000000000000004</v>
      </c>
      <c r="M7" s="38"/>
      <c r="N7" s="39">
        <f t="shared" si="0"/>
        <v>16.5</v>
      </c>
      <c r="O7" s="40">
        <f t="shared" si="1"/>
        <v>3.7671232876712327E-2</v>
      </c>
      <c r="P7" s="34"/>
      <c r="Q7" s="34"/>
    </row>
    <row r="8" spans="1:17" x14ac:dyDescent="0.55000000000000004">
      <c r="A8" s="22" t="s">
        <v>73</v>
      </c>
      <c r="B8" s="22"/>
      <c r="C8" s="42">
        <v>52</v>
      </c>
      <c r="D8" s="22"/>
      <c r="E8" s="22"/>
      <c r="F8" s="22"/>
      <c r="H8" s="34" t="s">
        <v>89</v>
      </c>
      <c r="I8" s="34"/>
      <c r="J8" s="35">
        <v>24</v>
      </c>
      <c r="K8" s="36">
        <f>+J8/J$3</f>
        <v>0.08</v>
      </c>
      <c r="L8" s="37">
        <v>1.5</v>
      </c>
      <c r="M8" s="38"/>
      <c r="N8" s="39">
        <f t="shared" si="0"/>
        <v>36</v>
      </c>
      <c r="O8" s="40">
        <f t="shared" si="1"/>
        <v>8.2191780821917804E-2</v>
      </c>
      <c r="P8" s="34"/>
      <c r="Q8" s="34"/>
    </row>
    <row r="9" spans="1:17" x14ac:dyDescent="0.55000000000000004">
      <c r="A9" s="22" t="s">
        <v>74</v>
      </c>
      <c r="B9" s="22"/>
      <c r="C9" s="43">
        <f>C7/C8</f>
        <v>28846.153846153848</v>
      </c>
      <c r="D9" s="22"/>
      <c r="E9" s="34"/>
      <c r="F9" s="22"/>
      <c r="H9" s="34" t="s">
        <v>91</v>
      </c>
      <c r="I9" s="34"/>
      <c r="J9" s="35">
        <v>0.1</v>
      </c>
      <c r="K9" s="36">
        <f>+J9/J$3</f>
        <v>3.3333333333333338E-4</v>
      </c>
      <c r="L9" s="37">
        <v>1</v>
      </c>
      <c r="M9" s="38"/>
      <c r="N9" s="39">
        <f t="shared" si="0"/>
        <v>0.1</v>
      </c>
      <c r="O9" s="40">
        <f t="shared" si="1"/>
        <v>2.2831050228310504E-4</v>
      </c>
      <c r="P9" s="34"/>
      <c r="Q9" s="49"/>
    </row>
    <row r="10" spans="1:17" x14ac:dyDescent="0.55000000000000004">
      <c r="A10" s="22" t="s">
        <v>75</v>
      </c>
      <c r="B10" s="22"/>
      <c r="C10" s="43">
        <f>C7/C16</f>
        <v>1185.1851851851852</v>
      </c>
      <c r="D10" s="22"/>
      <c r="E10" s="22"/>
      <c r="F10" s="22"/>
      <c r="H10" s="34" t="s">
        <v>90</v>
      </c>
      <c r="I10" s="34"/>
      <c r="J10" s="35"/>
      <c r="K10" s="36">
        <f>+J10/J$3</f>
        <v>0</v>
      </c>
      <c r="L10" s="37"/>
      <c r="M10" s="38"/>
      <c r="N10" s="39">
        <f t="shared" si="0"/>
        <v>0</v>
      </c>
      <c r="O10" s="40">
        <f t="shared" si="1"/>
        <v>0</v>
      </c>
      <c r="P10" s="34"/>
      <c r="Q10" s="49"/>
    </row>
    <row r="11" spans="1:17" x14ac:dyDescent="0.55000000000000004">
      <c r="A11" s="22" t="s">
        <v>76</v>
      </c>
      <c r="B11" s="22"/>
      <c r="C11" s="43">
        <f>+C7/C17</f>
        <v>1066.6666666666667</v>
      </c>
      <c r="D11" s="22"/>
      <c r="E11" s="22"/>
      <c r="F11" s="22"/>
      <c r="H11" s="46"/>
      <c r="I11" s="34"/>
      <c r="J11" s="35"/>
      <c r="K11" s="36"/>
      <c r="L11" s="37"/>
      <c r="M11" s="38"/>
      <c r="N11" s="39">
        <f t="shared" si="0"/>
        <v>0</v>
      </c>
      <c r="O11" s="40">
        <f t="shared" si="1"/>
        <v>0</v>
      </c>
      <c r="P11" s="34"/>
      <c r="Q11" s="49"/>
    </row>
    <row r="12" spans="1:17" x14ac:dyDescent="0.55000000000000004">
      <c r="A12" s="34" t="s">
        <v>100</v>
      </c>
      <c r="B12" s="34"/>
      <c r="C12" s="45">
        <f>+C11/C8</f>
        <v>20.512820512820515</v>
      </c>
      <c r="D12" s="34"/>
      <c r="E12" s="34"/>
      <c r="F12" s="34"/>
      <c r="H12" s="46"/>
      <c r="I12" s="34"/>
      <c r="J12" s="35"/>
      <c r="K12" s="36"/>
      <c r="L12" s="37"/>
      <c r="M12" s="38"/>
      <c r="N12" s="39">
        <f t="shared" si="0"/>
        <v>0</v>
      </c>
      <c r="O12" s="40">
        <f t="shared" si="1"/>
        <v>0</v>
      </c>
      <c r="P12" s="34"/>
      <c r="Q12" s="49"/>
    </row>
    <row r="13" spans="1:17" x14ac:dyDescent="0.55000000000000004">
      <c r="A13" s="48" t="s">
        <v>101</v>
      </c>
      <c r="B13" s="34"/>
      <c r="C13" s="47">
        <v>24</v>
      </c>
      <c r="D13" s="34"/>
      <c r="E13" s="34"/>
      <c r="F13" s="34"/>
      <c r="H13" s="34"/>
      <c r="I13" s="34"/>
      <c r="J13" s="35"/>
      <c r="K13" s="36"/>
      <c r="L13" s="37"/>
      <c r="M13" s="38"/>
      <c r="N13" s="39">
        <f>+L13*I13</f>
        <v>0</v>
      </c>
      <c r="O13" s="40">
        <f t="shared" si="1"/>
        <v>0</v>
      </c>
      <c r="P13" s="34"/>
      <c r="Q13" s="49"/>
    </row>
    <row r="14" spans="1:17" x14ac:dyDescent="0.55000000000000004">
      <c r="A14" s="48" t="s">
        <v>102</v>
      </c>
      <c r="B14" s="22"/>
      <c r="C14" s="50">
        <v>15</v>
      </c>
      <c r="D14" s="22"/>
      <c r="E14" s="22"/>
      <c r="F14" s="22"/>
      <c r="H14" s="34"/>
      <c r="I14" s="34"/>
      <c r="J14" s="35"/>
      <c r="K14" s="36"/>
      <c r="L14" s="37"/>
      <c r="M14" s="38"/>
      <c r="N14" s="39">
        <f t="shared" si="0"/>
        <v>0</v>
      </c>
      <c r="O14" s="40">
        <f t="shared" si="1"/>
        <v>0</v>
      </c>
      <c r="P14" s="34"/>
      <c r="Q14" s="49"/>
    </row>
    <row r="15" spans="1:17" x14ac:dyDescent="0.55000000000000004">
      <c r="A15" s="22" t="s">
        <v>103</v>
      </c>
      <c r="B15" s="22"/>
      <c r="C15" s="107">
        <f>+C13*C14</f>
        <v>360</v>
      </c>
      <c r="D15" s="22"/>
      <c r="E15" s="22" t="s">
        <v>77</v>
      </c>
      <c r="F15" s="22"/>
      <c r="H15" s="34"/>
      <c r="I15" s="34"/>
      <c r="J15" s="53"/>
      <c r="K15" s="54"/>
      <c r="L15" s="55"/>
      <c r="M15" s="56"/>
      <c r="N15" s="57">
        <f t="shared" si="0"/>
        <v>0</v>
      </c>
      <c r="O15" s="40">
        <f t="shared" si="1"/>
        <v>0</v>
      </c>
      <c r="P15" s="34"/>
      <c r="Q15" s="49"/>
    </row>
    <row r="16" spans="1:17" x14ac:dyDescent="0.55000000000000004">
      <c r="A16" s="22" t="s">
        <v>78</v>
      </c>
      <c r="B16" s="22"/>
      <c r="C16" s="45">
        <f>+C17*C18</f>
        <v>1265.625</v>
      </c>
      <c r="D16" s="34"/>
      <c r="E16" s="51"/>
      <c r="F16" s="34"/>
      <c r="H16" s="34"/>
      <c r="I16" s="34"/>
      <c r="J16" s="58"/>
      <c r="K16" s="36"/>
      <c r="L16" s="37"/>
      <c r="M16" s="38"/>
      <c r="N16" s="39"/>
      <c r="O16" s="40"/>
      <c r="P16" s="34"/>
      <c r="Q16" s="49"/>
    </row>
    <row r="17" spans="1:17" ht="23.25" thickBot="1" x14ac:dyDescent="0.9">
      <c r="A17" s="22" t="s">
        <v>79</v>
      </c>
      <c r="B17" s="22"/>
      <c r="C17" s="45">
        <f>+C15/12*C3/16*60</f>
        <v>1406.25</v>
      </c>
      <c r="D17" s="22"/>
      <c r="E17" s="52">
        <f>+C17/C2/60</f>
        <v>1.5</v>
      </c>
      <c r="F17" s="22"/>
      <c r="H17" s="22" t="s">
        <v>60</v>
      </c>
      <c r="I17" s="22"/>
      <c r="J17" s="60">
        <f>SUM(J3:J16)</f>
        <v>504.1</v>
      </c>
      <c r="K17" s="36"/>
      <c r="L17" s="61"/>
      <c r="M17" s="61"/>
      <c r="N17" s="62">
        <f>SUM(N3:N15)</f>
        <v>106.6</v>
      </c>
      <c r="O17" s="40">
        <f>N17/$C$27</f>
        <v>0.24337899543378994</v>
      </c>
      <c r="P17" s="22"/>
      <c r="Q17" s="63"/>
    </row>
    <row r="18" spans="1:17" ht="23.25" thickTop="1" x14ac:dyDescent="0.85">
      <c r="A18" s="22" t="s">
        <v>80</v>
      </c>
      <c r="B18" s="22"/>
      <c r="C18" s="46">
        <v>0.9</v>
      </c>
      <c r="D18" s="22"/>
      <c r="E18" s="52"/>
      <c r="F18" s="22" t="s">
        <v>59</v>
      </c>
      <c r="H18" s="22"/>
      <c r="I18" s="22"/>
      <c r="J18" s="63"/>
      <c r="K18" s="65"/>
      <c r="L18" s="61"/>
      <c r="M18" s="61"/>
      <c r="N18" s="66"/>
      <c r="O18" s="67"/>
      <c r="P18" s="22"/>
      <c r="Q18" s="63"/>
    </row>
    <row r="19" spans="1:17" ht="21" thickBot="1" x14ac:dyDescent="0.6">
      <c r="A19" s="22" t="s">
        <v>81</v>
      </c>
      <c r="B19" s="22"/>
      <c r="C19" s="45">
        <f>C17/C20</f>
        <v>156.25</v>
      </c>
      <c r="D19" s="22"/>
      <c r="E19" s="52"/>
      <c r="F19" s="22"/>
      <c r="H19" s="22"/>
      <c r="I19" s="22"/>
      <c r="J19" s="71" t="s">
        <v>62</v>
      </c>
      <c r="K19" s="71"/>
      <c r="L19" s="71" t="s">
        <v>63</v>
      </c>
      <c r="M19" s="71"/>
      <c r="N19" s="72" t="s">
        <v>64</v>
      </c>
      <c r="O19" s="22"/>
      <c r="P19" s="22"/>
      <c r="Q19" s="73"/>
    </row>
    <row r="20" spans="1:17" ht="25.15" x14ac:dyDescent="0.65">
      <c r="A20" s="123" t="s">
        <v>82</v>
      </c>
      <c r="B20" s="123"/>
      <c r="C20" s="125">
        <v>9</v>
      </c>
      <c r="D20" s="22"/>
      <c r="E20" s="52"/>
      <c r="F20" s="22"/>
      <c r="H20" s="22" t="s">
        <v>54</v>
      </c>
      <c r="I20" s="22"/>
      <c r="J20" s="74">
        <f>N20*$C$2</f>
        <v>3.8027968036529676</v>
      </c>
      <c r="K20" s="74"/>
      <c r="L20" s="75">
        <f>J20/$C$4</f>
        <v>0.19013984018264837</v>
      </c>
      <c r="M20" s="74"/>
      <c r="N20" s="76">
        <f>+N17/C27</f>
        <v>0.24337899543378994</v>
      </c>
      <c r="O20" s="22"/>
      <c r="P20" s="22"/>
      <c r="Q20" s="73"/>
    </row>
    <row r="21" spans="1:17" x14ac:dyDescent="0.55000000000000004">
      <c r="A21" s="22" t="s">
        <v>83</v>
      </c>
      <c r="B21" s="22"/>
      <c r="C21" s="59">
        <v>12</v>
      </c>
      <c r="D21" s="22"/>
      <c r="F21" s="22"/>
      <c r="H21" s="22"/>
      <c r="I21" s="22"/>
      <c r="J21" s="77"/>
      <c r="K21" s="77"/>
      <c r="L21" s="78"/>
      <c r="M21" s="77"/>
      <c r="N21" s="79"/>
      <c r="O21" s="22"/>
      <c r="P21" s="22"/>
      <c r="Q21" s="73"/>
    </row>
    <row r="22" spans="1:17" x14ac:dyDescent="0.55000000000000004">
      <c r="A22" s="22" t="s">
        <v>84</v>
      </c>
      <c r="B22" s="22"/>
      <c r="C22" s="64">
        <f>+C17/C2*C4/60</f>
        <v>30</v>
      </c>
      <c r="D22" s="22"/>
      <c r="E22" s="52"/>
      <c r="F22" s="22"/>
      <c r="H22" s="22" t="s">
        <v>65</v>
      </c>
      <c r="I22" s="22"/>
      <c r="J22" s="66">
        <f>+N22*C$2</f>
        <v>1.2</v>
      </c>
      <c r="K22" s="61"/>
      <c r="L22" s="80">
        <f>+J22/C$4</f>
        <v>0.06</v>
      </c>
      <c r="M22" s="61"/>
      <c r="N22" s="81">
        <f>C21/C19</f>
        <v>7.6799999999999993E-2</v>
      </c>
      <c r="O22" s="22"/>
      <c r="P22" s="30" t="s">
        <v>115</v>
      </c>
      <c r="Q22" s="30"/>
    </row>
    <row r="23" spans="1:17" x14ac:dyDescent="0.55000000000000004">
      <c r="A23" s="22" t="s">
        <v>104</v>
      </c>
      <c r="B23" s="22"/>
      <c r="C23" s="68">
        <f>C7/52</f>
        <v>28846.153846153848</v>
      </c>
      <c r="D23" s="22"/>
      <c r="E23" s="52"/>
      <c r="F23" s="22"/>
      <c r="H23" s="22" t="s">
        <v>48</v>
      </c>
      <c r="I23" s="22"/>
      <c r="J23" s="66">
        <f>+N23*C$2</f>
        <v>0.74323104693140796</v>
      </c>
      <c r="K23" s="61"/>
      <c r="L23" s="80">
        <f>+J23/C$4</f>
        <v>3.7161552346570398E-2</v>
      </c>
      <c r="M23" s="61"/>
      <c r="N23" s="81">
        <f>+P23/C$17</f>
        <v>4.7566787003610111E-2</v>
      </c>
      <c r="O23" s="22"/>
      <c r="P23" s="82">
        <f>+'Indirect Labor'!I9</f>
        <v>66.890794223826717</v>
      </c>
      <c r="Q23" s="22" t="s">
        <v>126</v>
      </c>
    </row>
    <row r="24" spans="1:17" x14ac:dyDescent="0.55000000000000004">
      <c r="H24" s="22" t="s">
        <v>66</v>
      </c>
      <c r="I24" s="22"/>
      <c r="J24" s="66">
        <f>+N24*C$2</f>
        <v>0.70667870036101077</v>
      </c>
      <c r="K24" s="61"/>
      <c r="L24" s="80">
        <f>+J24/C$4</f>
        <v>3.5333935018050537E-2</v>
      </c>
      <c r="M24" s="61"/>
      <c r="N24" s="81">
        <f>+P24/C$17</f>
        <v>4.5227436823104691E-2</v>
      </c>
      <c r="O24" s="83"/>
      <c r="P24" s="82">
        <f>+'Variable Cost'!I11</f>
        <v>63.601083032490969</v>
      </c>
      <c r="Q24" s="22" t="s">
        <v>124</v>
      </c>
    </row>
    <row r="25" spans="1:17" x14ac:dyDescent="0.55000000000000004">
      <c r="H25" s="22" t="s">
        <v>67</v>
      </c>
      <c r="I25" s="22"/>
      <c r="J25" s="66">
        <f>+N25*C$2</f>
        <v>2.6458245725393739</v>
      </c>
      <c r="K25" s="61"/>
      <c r="L25" s="80">
        <f>+J25/C$4</f>
        <v>0.13229122862696868</v>
      </c>
      <c r="M25" s="61"/>
      <c r="N25" s="81">
        <f>+P25/C$17</f>
        <v>0.16933277264251992</v>
      </c>
      <c r="O25" s="22"/>
      <c r="P25" s="82">
        <f>+'Fixed Cost'!O15</f>
        <v>238.12421152854364</v>
      </c>
      <c r="Q25" s="22" t="s">
        <v>125</v>
      </c>
    </row>
    <row r="26" spans="1:17" x14ac:dyDescent="0.55000000000000004">
      <c r="A26" s="22" t="s">
        <v>61</v>
      </c>
      <c r="B26" s="22"/>
      <c r="C26" s="69">
        <v>0.04</v>
      </c>
      <c r="D26" s="65"/>
      <c r="H26" s="84" t="s">
        <v>68</v>
      </c>
      <c r="I26" s="22"/>
      <c r="J26" s="85">
        <f>SUM(J22:J25)</f>
        <v>5.2957343198317925</v>
      </c>
      <c r="K26" s="86"/>
      <c r="L26" s="87">
        <f>SUM(L22:L25)</f>
        <v>0.26478671599158965</v>
      </c>
      <c r="M26" s="86"/>
      <c r="N26" s="88">
        <f>SUM(N22:N25)</f>
        <v>0.33892699646923474</v>
      </c>
      <c r="O26" s="22"/>
      <c r="P26" s="22"/>
      <c r="Q26" s="22"/>
    </row>
    <row r="27" spans="1:17" x14ac:dyDescent="0.55000000000000004">
      <c r="A27" s="22" t="s">
        <v>120</v>
      </c>
      <c r="B27" s="22"/>
      <c r="C27" s="63">
        <f>+C29*(J3)</f>
        <v>438</v>
      </c>
      <c r="D27" s="63"/>
      <c r="H27" s="22" t="s">
        <v>69</v>
      </c>
      <c r="I27" s="104" t="s">
        <v>70</v>
      </c>
      <c r="J27" s="66"/>
      <c r="K27" s="61"/>
      <c r="L27" s="80"/>
      <c r="M27" s="61"/>
      <c r="N27" s="81"/>
      <c r="O27" s="22"/>
      <c r="P27" s="22"/>
      <c r="Q27" s="22"/>
    </row>
    <row r="28" spans="1:17" x14ac:dyDescent="0.55000000000000004">
      <c r="A28" s="22" t="s">
        <v>92</v>
      </c>
      <c r="B28" s="22"/>
      <c r="C28" s="70">
        <v>1.5</v>
      </c>
      <c r="D28" s="63"/>
      <c r="H28" s="105" t="s">
        <v>106</v>
      </c>
      <c r="I28" s="34">
        <v>1</v>
      </c>
      <c r="J28" s="59">
        <v>0.75</v>
      </c>
      <c r="K28" s="39"/>
      <c r="L28" s="89">
        <f>+J28/C4</f>
        <v>3.7499999999999999E-2</v>
      </c>
      <c r="M28" s="39"/>
      <c r="N28" s="40">
        <f>+J28/C2</f>
        <v>4.8000000000000001E-2</v>
      </c>
      <c r="O28" s="22"/>
      <c r="P28" s="22"/>
      <c r="Q28" s="22"/>
    </row>
    <row r="29" spans="1:17" x14ac:dyDescent="0.55000000000000004">
      <c r="A29" s="22" t="s">
        <v>121</v>
      </c>
      <c r="B29" s="22"/>
      <c r="C29" s="108">
        <f>+C28-C26</f>
        <v>1.46</v>
      </c>
      <c r="D29" s="22"/>
      <c r="H29" s="105" t="s">
        <v>107</v>
      </c>
      <c r="I29" s="34">
        <f>+C4</f>
        <v>20</v>
      </c>
      <c r="J29" s="39">
        <f>L29*C4</f>
        <v>1.6</v>
      </c>
      <c r="K29" s="39"/>
      <c r="L29" s="90">
        <v>0.08</v>
      </c>
      <c r="M29" s="39"/>
      <c r="N29" s="40">
        <f>+(L29*C4)/C2</f>
        <v>0.1024</v>
      </c>
      <c r="O29" s="22"/>
      <c r="P29" s="22"/>
      <c r="Q29" s="22"/>
    </row>
    <row r="30" spans="1:17" x14ac:dyDescent="0.55000000000000004">
      <c r="H30" s="91" t="s">
        <v>71</v>
      </c>
      <c r="I30" s="34"/>
      <c r="J30" s="92">
        <f>SUM(J28:J29)</f>
        <v>2.35</v>
      </c>
      <c r="K30" s="93"/>
      <c r="L30" s="94">
        <f>SUM(L28:L29)</f>
        <v>0.11749999999999999</v>
      </c>
      <c r="M30" s="93"/>
      <c r="N30" s="95">
        <f>SUM(N28:N29)</f>
        <v>0.15040000000000001</v>
      </c>
      <c r="O30" s="22"/>
      <c r="P30" s="22"/>
      <c r="Q30" s="22"/>
    </row>
    <row r="31" spans="1:17" x14ac:dyDescent="0.55000000000000004">
      <c r="H31" s="34"/>
      <c r="I31" s="34"/>
      <c r="J31" s="39"/>
      <c r="K31" s="38"/>
      <c r="L31" s="89"/>
      <c r="M31" s="38"/>
      <c r="N31" s="40"/>
      <c r="O31" s="22"/>
      <c r="P31" s="22" t="s">
        <v>105</v>
      </c>
      <c r="Q31" s="22"/>
    </row>
    <row r="32" spans="1:17" x14ac:dyDescent="0.55000000000000004">
      <c r="H32" s="96" t="s">
        <v>72</v>
      </c>
      <c r="I32" s="22"/>
      <c r="J32" s="85">
        <f>J20+J26+J30</f>
        <v>11.448531123484759</v>
      </c>
      <c r="K32" s="86"/>
      <c r="L32" s="87">
        <f>L20+L26+L30</f>
        <v>0.5724265561742381</v>
      </c>
      <c r="M32" s="86"/>
      <c r="N32" s="88">
        <f>N20+N26+N30</f>
        <v>0.73270599190302466</v>
      </c>
      <c r="O32" s="22"/>
      <c r="P32" s="81">
        <f>+L32/C5</f>
        <v>4.7702213014519844E-2</v>
      </c>
      <c r="Q32" s="22"/>
    </row>
    <row r="33" spans="8:17" x14ac:dyDescent="0.55000000000000004">
      <c r="H33" s="96"/>
      <c r="I33" s="22"/>
      <c r="J33" s="97"/>
      <c r="K33" s="98"/>
      <c r="L33" s="99"/>
      <c r="M33" s="98"/>
      <c r="N33" s="100"/>
      <c r="O33" s="22"/>
      <c r="P33" s="81"/>
      <c r="Q33" s="22"/>
    </row>
    <row r="34" spans="8:17" x14ac:dyDescent="0.55000000000000004">
      <c r="H34" s="26" t="s">
        <v>17</v>
      </c>
      <c r="I34" s="118">
        <f>+'Base '!D15+'Base '!D16</f>
        <v>3000000</v>
      </c>
    </row>
    <row r="35" spans="8:17" x14ac:dyDescent="0.55000000000000004">
      <c r="H35" s="26" t="s">
        <v>128</v>
      </c>
      <c r="I35" s="120">
        <f>+'Press 6.5 in'!N32</f>
        <v>0.74123932523635794</v>
      </c>
    </row>
    <row r="36" spans="8:17" x14ac:dyDescent="0.55000000000000004">
      <c r="H36" s="26" t="s">
        <v>129</v>
      </c>
      <c r="I36" s="120">
        <f>+N32</f>
        <v>0.73270599190302466</v>
      </c>
    </row>
    <row r="37" spans="8:17" x14ac:dyDescent="0.55000000000000004">
      <c r="H37" s="26" t="s">
        <v>130</v>
      </c>
      <c r="I37" s="120">
        <f>+I36-I35</f>
        <v>-8.5333333333332817E-3</v>
      </c>
    </row>
    <row r="38" spans="8:17" x14ac:dyDescent="0.55000000000000004">
      <c r="H38" s="26" t="s">
        <v>131</v>
      </c>
      <c r="I38" s="119">
        <f>+I37*I34</f>
        <v>-25599.999999999844</v>
      </c>
    </row>
    <row r="47" spans="8:17" x14ac:dyDescent="0.55000000000000004">
      <c r="H47" s="22"/>
      <c r="I47" s="22"/>
      <c r="J47" s="22"/>
      <c r="K47" s="102"/>
    </row>
    <row r="48" spans="8:17" x14ac:dyDescent="0.55000000000000004">
      <c r="H48" s="22"/>
      <c r="I48" s="22"/>
      <c r="J48" s="22"/>
      <c r="K48" s="22"/>
    </row>
    <row r="49" spans="2:26" x14ac:dyDescent="0.55000000000000004">
      <c r="I49" s="22"/>
      <c r="J49" s="22"/>
      <c r="K49" s="22"/>
    </row>
    <row r="50" spans="2:26" x14ac:dyDescent="0.55000000000000004">
      <c r="H50" s="34"/>
      <c r="I50" s="34"/>
      <c r="J50" s="34"/>
      <c r="K50" s="22"/>
    </row>
    <row r="51" spans="2:26" x14ac:dyDescent="0.55000000000000004">
      <c r="H51" s="34"/>
      <c r="I51" s="34"/>
      <c r="J51" s="34"/>
      <c r="K51" s="22"/>
    </row>
    <row r="52" spans="2:26" x14ac:dyDescent="0.55000000000000004">
      <c r="H52" s="22"/>
      <c r="I52" s="22"/>
      <c r="J52" s="22"/>
      <c r="K52" s="103">
        <v>36</v>
      </c>
    </row>
    <row r="53" spans="2:26" x14ac:dyDescent="0.55000000000000004">
      <c r="H53" s="22"/>
      <c r="I53" s="22"/>
      <c r="J53" s="22"/>
      <c r="K53" s="103">
        <v>24</v>
      </c>
    </row>
    <row r="54" spans="2:26" x14ac:dyDescent="0.55000000000000004">
      <c r="H54" s="34"/>
      <c r="I54" s="34"/>
      <c r="J54" s="22"/>
      <c r="K54" s="103">
        <v>25</v>
      </c>
    </row>
    <row r="55" spans="2:26" x14ac:dyDescent="0.55000000000000004">
      <c r="H55" s="34"/>
      <c r="I55" s="34"/>
      <c r="J55" s="22"/>
      <c r="K55" s="103">
        <v>26</v>
      </c>
    </row>
    <row r="56" spans="2:26" x14ac:dyDescent="0.55000000000000004">
      <c r="I56" s="22"/>
      <c r="J56" s="22"/>
      <c r="K56" s="103">
        <v>27</v>
      </c>
    </row>
    <row r="57" spans="2:26" x14ac:dyDescent="0.55000000000000004">
      <c r="H57" s="22"/>
      <c r="I57" s="22"/>
      <c r="J57" s="22"/>
      <c r="K57" s="103">
        <v>28</v>
      </c>
    </row>
    <row r="58" spans="2:26" x14ac:dyDescent="0.55000000000000004">
      <c r="H58" s="22"/>
      <c r="I58" s="22"/>
      <c r="J58" s="22"/>
      <c r="K58" s="103">
        <v>29</v>
      </c>
    </row>
    <row r="59" spans="2:26" x14ac:dyDescent="0.55000000000000004">
      <c r="I59" s="22"/>
      <c r="J59" s="22"/>
      <c r="K59" s="103">
        <v>30</v>
      </c>
    </row>
    <row r="60" spans="2:26" x14ac:dyDescent="0.55000000000000004">
      <c r="H60" s="22"/>
      <c r="I60" s="22"/>
      <c r="J60" s="22"/>
      <c r="K60" s="103">
        <v>31</v>
      </c>
    </row>
    <row r="61" spans="2:26" x14ac:dyDescent="0.55000000000000004">
      <c r="H61" s="22"/>
      <c r="I61" s="22"/>
      <c r="J61" s="22"/>
      <c r="K61" s="103">
        <v>32</v>
      </c>
    </row>
    <row r="62" spans="2:26" x14ac:dyDescent="0.55000000000000004">
      <c r="H62" s="22"/>
      <c r="I62" s="22"/>
      <c r="J62" s="22"/>
      <c r="K62" s="103">
        <v>33</v>
      </c>
    </row>
    <row r="63" spans="2:26" x14ac:dyDescent="0.55000000000000004">
      <c r="B63" s="22"/>
      <c r="C63" s="22"/>
      <c r="D63" s="52"/>
      <c r="E63" s="22"/>
      <c r="F63" s="52"/>
      <c r="G63" s="22"/>
      <c r="H63" s="22"/>
      <c r="I63" s="22"/>
      <c r="J63" s="22"/>
      <c r="K63" s="103">
        <v>34</v>
      </c>
    </row>
    <row r="64" spans="2:26" x14ac:dyDescent="0.55000000000000004">
      <c r="B64" s="22"/>
      <c r="C64" s="22"/>
      <c r="D64" s="22"/>
      <c r="E64" s="22"/>
      <c r="F64" s="52"/>
      <c r="G64" s="22"/>
      <c r="H64" s="22"/>
      <c r="I64" s="22"/>
      <c r="J64" s="22"/>
      <c r="K64" s="103">
        <v>35</v>
      </c>
      <c r="W64" s="22"/>
      <c r="X64" s="22"/>
      <c r="Y64" s="22"/>
      <c r="Z64" s="22"/>
    </row>
    <row r="65" spans="2:26" x14ac:dyDescent="0.55000000000000004">
      <c r="B65" s="22"/>
      <c r="C65" s="22"/>
      <c r="D65" s="22"/>
      <c r="E65" s="22"/>
      <c r="F65" s="52"/>
      <c r="G65" s="22"/>
      <c r="H65" s="22"/>
      <c r="I65" s="22"/>
      <c r="J65" s="22"/>
      <c r="W65" s="22"/>
      <c r="X65" s="22"/>
      <c r="Y65" s="22"/>
      <c r="Z65" s="10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65"/>
  <sheetViews>
    <sheetView tabSelected="1" workbookViewId="0">
      <selection activeCell="D35" sqref="D35"/>
    </sheetView>
  </sheetViews>
  <sheetFormatPr defaultColWidth="9.1328125" defaultRowHeight="20.65" x14ac:dyDescent="0.55000000000000004"/>
  <cols>
    <col min="1" max="1" width="9.1328125" style="26"/>
    <col min="2" max="2" width="21.73046875" style="26" customWidth="1"/>
    <col min="3" max="3" width="18.1328125" style="26" customWidth="1"/>
    <col min="4" max="4" width="14.86328125" style="26" bestFit="1" customWidth="1"/>
    <col min="5" max="5" width="9.3984375" style="26" bestFit="1" customWidth="1"/>
    <col min="6" max="6" width="10" style="26" bestFit="1" customWidth="1"/>
    <col min="7" max="7" width="9.1328125" style="26"/>
    <col min="8" max="8" width="19.86328125" style="26" customWidth="1"/>
    <col min="9" max="9" width="16.1328125" style="26" bestFit="1" customWidth="1"/>
    <col min="10" max="10" width="11.265625" style="26" bestFit="1" customWidth="1"/>
    <col min="11" max="11" width="9.86328125" style="26" bestFit="1" customWidth="1"/>
    <col min="12" max="12" width="11.73046875" style="26" customWidth="1"/>
    <col min="13" max="13" width="6" style="26" customWidth="1"/>
    <col min="14" max="14" width="11.3984375" style="26" customWidth="1"/>
    <col min="15" max="15" width="18.73046875" style="26" customWidth="1"/>
    <col min="16" max="16" width="13.3984375" style="26" customWidth="1"/>
    <col min="17" max="17" width="9.265625" style="26" bestFit="1" customWidth="1"/>
    <col min="18" max="16384" width="9.1328125" style="26"/>
  </cols>
  <sheetData>
    <row r="1" spans="1:17" x14ac:dyDescent="0.55000000000000004">
      <c r="B1" s="21" t="s">
        <v>50</v>
      </c>
      <c r="C1" s="83" t="s">
        <v>99</v>
      </c>
      <c r="D1" s="22"/>
      <c r="E1" s="22" t="s">
        <v>135</v>
      </c>
      <c r="F1" s="23"/>
      <c r="G1" s="24"/>
      <c r="H1" s="24"/>
      <c r="I1" s="24"/>
      <c r="J1" s="25"/>
      <c r="K1" s="22"/>
    </row>
    <row r="2" spans="1:17" x14ac:dyDescent="0.55000000000000004">
      <c r="B2" s="21" t="s">
        <v>51</v>
      </c>
      <c r="C2" s="27">
        <f>+(C4*C5)/12*C3/16</f>
        <v>15.625</v>
      </c>
      <c r="D2" s="22"/>
      <c r="E2" s="22"/>
      <c r="F2" s="28"/>
      <c r="G2" s="28"/>
      <c r="H2" s="29" t="s">
        <v>54</v>
      </c>
      <c r="I2" s="29"/>
      <c r="J2" s="30" t="s">
        <v>55</v>
      </c>
      <c r="K2" s="30" t="s">
        <v>56</v>
      </c>
      <c r="L2" s="30" t="s">
        <v>57</v>
      </c>
      <c r="M2" s="30"/>
      <c r="N2" s="31" t="s">
        <v>58</v>
      </c>
      <c r="O2" s="32" t="s">
        <v>113</v>
      </c>
      <c r="P2" s="21"/>
      <c r="Q2" s="21"/>
    </row>
    <row r="3" spans="1:17" x14ac:dyDescent="0.55000000000000004">
      <c r="B3" s="21" t="s">
        <v>52</v>
      </c>
      <c r="C3" s="106">
        <v>12.5</v>
      </c>
      <c r="D3" s="22"/>
      <c r="E3" s="22"/>
      <c r="F3" s="25"/>
      <c r="G3" s="25"/>
      <c r="H3" s="34" t="s">
        <v>86</v>
      </c>
      <c r="I3" s="34"/>
      <c r="J3" s="35">
        <v>300</v>
      </c>
      <c r="K3" s="36">
        <f>+J3/J3</f>
        <v>1</v>
      </c>
      <c r="L3" s="37">
        <v>0.18</v>
      </c>
      <c r="M3" s="38"/>
      <c r="N3" s="39">
        <f t="shared" ref="N3:N15" si="0">+L3*J3</f>
        <v>54</v>
      </c>
      <c r="O3" s="40">
        <f t="shared" ref="O3:O15" si="1">N3/$C$27</f>
        <v>0.12328767123287671</v>
      </c>
      <c r="P3" s="41"/>
      <c r="Q3" s="34"/>
    </row>
    <row r="4" spans="1:17" x14ac:dyDescent="0.55000000000000004">
      <c r="B4" s="21" t="s">
        <v>53</v>
      </c>
      <c r="C4" s="83">
        <v>20</v>
      </c>
      <c r="D4" s="21"/>
      <c r="E4" s="22"/>
      <c r="F4" s="22"/>
      <c r="G4" s="22"/>
      <c r="H4" s="34"/>
      <c r="I4" s="34"/>
      <c r="J4" s="35"/>
      <c r="K4" s="36"/>
      <c r="L4" s="37"/>
      <c r="M4" s="38"/>
      <c r="N4" s="39">
        <f>+L4*J4</f>
        <v>0</v>
      </c>
      <c r="O4" s="40">
        <f t="shared" si="1"/>
        <v>0</v>
      </c>
      <c r="P4" s="34"/>
      <c r="Q4" s="34"/>
    </row>
    <row r="5" spans="1:17" x14ac:dyDescent="0.55000000000000004">
      <c r="B5" s="21" t="s">
        <v>85</v>
      </c>
      <c r="C5" s="83">
        <v>12</v>
      </c>
      <c r="D5" s="22"/>
      <c r="E5" s="22"/>
      <c r="F5" s="22"/>
      <c r="G5" s="22"/>
      <c r="H5" s="34"/>
      <c r="I5" s="34"/>
      <c r="J5" s="35"/>
      <c r="K5" s="36"/>
      <c r="L5" s="37"/>
      <c r="M5" s="38"/>
      <c r="N5" s="39">
        <f t="shared" si="0"/>
        <v>0</v>
      </c>
      <c r="O5" s="40">
        <f t="shared" si="1"/>
        <v>0</v>
      </c>
      <c r="P5" s="44"/>
      <c r="Q5" s="45"/>
    </row>
    <row r="6" spans="1:17" x14ac:dyDescent="0.55000000000000004">
      <c r="H6" s="34" t="s">
        <v>87</v>
      </c>
      <c r="I6" s="34"/>
      <c r="J6" s="35">
        <v>150</v>
      </c>
      <c r="K6" s="36">
        <f>+J6/J$3</f>
        <v>0.5</v>
      </c>
      <c r="L6" s="37">
        <v>0</v>
      </c>
      <c r="M6" s="38"/>
      <c r="N6" s="39">
        <f t="shared" si="0"/>
        <v>0</v>
      </c>
      <c r="O6" s="40">
        <f t="shared" si="1"/>
        <v>0</v>
      </c>
      <c r="P6" s="41"/>
      <c r="Q6" s="34"/>
    </row>
    <row r="7" spans="1:17" x14ac:dyDescent="0.55000000000000004">
      <c r="A7" s="22" t="s">
        <v>8</v>
      </c>
      <c r="B7" s="22"/>
      <c r="C7" s="33">
        <f>+'Base '!D15</f>
        <v>1500000</v>
      </c>
      <c r="D7" s="22"/>
      <c r="E7" s="22"/>
      <c r="F7" s="22"/>
      <c r="H7" s="46" t="s">
        <v>88</v>
      </c>
      <c r="I7" s="34"/>
      <c r="J7" s="49">
        <v>30</v>
      </c>
      <c r="K7" s="36">
        <f>+J7/J$3</f>
        <v>0.1</v>
      </c>
      <c r="L7" s="109">
        <v>0.55000000000000004</v>
      </c>
      <c r="M7" s="38"/>
      <c r="N7" s="39">
        <f t="shared" si="0"/>
        <v>16.5</v>
      </c>
      <c r="O7" s="40">
        <f t="shared" si="1"/>
        <v>3.7671232876712327E-2</v>
      </c>
      <c r="P7" s="34"/>
      <c r="Q7" s="34"/>
    </row>
    <row r="8" spans="1:17" x14ac:dyDescent="0.55000000000000004">
      <c r="A8" s="22" t="s">
        <v>73</v>
      </c>
      <c r="B8" s="22"/>
      <c r="C8" s="42">
        <v>52</v>
      </c>
      <c r="D8" s="22"/>
      <c r="E8" s="22"/>
      <c r="F8" s="22"/>
      <c r="H8" s="34" t="s">
        <v>89</v>
      </c>
      <c r="I8" s="34"/>
      <c r="J8" s="35">
        <v>24</v>
      </c>
      <c r="K8" s="36">
        <f>+J8/J$3</f>
        <v>0.08</v>
      </c>
      <c r="L8" s="37">
        <v>1.5</v>
      </c>
      <c r="M8" s="38"/>
      <c r="N8" s="39">
        <f t="shared" si="0"/>
        <v>36</v>
      </c>
      <c r="O8" s="40">
        <f t="shared" si="1"/>
        <v>8.2191780821917804E-2</v>
      </c>
      <c r="P8" s="34"/>
      <c r="Q8" s="34"/>
    </row>
    <row r="9" spans="1:17" x14ac:dyDescent="0.55000000000000004">
      <c r="A9" s="22" t="s">
        <v>74</v>
      </c>
      <c r="B9" s="22"/>
      <c r="C9" s="43">
        <f>C7/C8</f>
        <v>28846.153846153848</v>
      </c>
      <c r="D9" s="22"/>
      <c r="E9" s="34"/>
      <c r="F9" s="22"/>
      <c r="H9" s="34" t="s">
        <v>91</v>
      </c>
      <c r="I9" s="34"/>
      <c r="J9" s="35">
        <v>0.1</v>
      </c>
      <c r="K9" s="36">
        <f>+J9/J$3</f>
        <v>3.3333333333333338E-4</v>
      </c>
      <c r="L9" s="37">
        <v>1</v>
      </c>
      <c r="M9" s="38"/>
      <c r="N9" s="39">
        <f t="shared" si="0"/>
        <v>0.1</v>
      </c>
      <c r="O9" s="40">
        <f t="shared" si="1"/>
        <v>2.2831050228310504E-4</v>
      </c>
      <c r="P9" s="34"/>
      <c r="Q9" s="49"/>
    </row>
    <row r="10" spans="1:17" x14ac:dyDescent="0.55000000000000004">
      <c r="A10" s="22" t="s">
        <v>75</v>
      </c>
      <c r="B10" s="22"/>
      <c r="C10" s="43">
        <f>C7/C16</f>
        <v>1111.1111111111111</v>
      </c>
      <c r="D10" s="22"/>
      <c r="E10" s="22"/>
      <c r="F10" s="22"/>
      <c r="H10" s="34" t="s">
        <v>90</v>
      </c>
      <c r="I10" s="34"/>
      <c r="J10" s="35"/>
      <c r="K10" s="36">
        <f>+J10/J$3</f>
        <v>0</v>
      </c>
      <c r="L10" s="37"/>
      <c r="M10" s="38"/>
      <c r="N10" s="39">
        <f t="shared" si="0"/>
        <v>0</v>
      </c>
      <c r="O10" s="40">
        <f t="shared" si="1"/>
        <v>0</v>
      </c>
      <c r="P10" s="34"/>
      <c r="Q10" s="49"/>
    </row>
    <row r="11" spans="1:17" x14ac:dyDescent="0.55000000000000004">
      <c r="A11" s="22" t="s">
        <v>76</v>
      </c>
      <c r="B11" s="22"/>
      <c r="C11" s="43">
        <f>+C7/C17</f>
        <v>1000</v>
      </c>
      <c r="D11" s="22"/>
      <c r="E11" s="22"/>
      <c r="F11" s="22"/>
      <c r="H11" s="46"/>
      <c r="I11" s="34"/>
      <c r="J11" s="35"/>
      <c r="K11" s="36"/>
      <c r="L11" s="37"/>
      <c r="M11" s="38"/>
      <c r="N11" s="39">
        <f t="shared" si="0"/>
        <v>0</v>
      </c>
      <c r="O11" s="40">
        <f t="shared" si="1"/>
        <v>0</v>
      </c>
      <c r="P11" s="34"/>
      <c r="Q11" s="49"/>
    </row>
    <row r="12" spans="1:17" x14ac:dyDescent="0.55000000000000004">
      <c r="A12" s="34" t="s">
        <v>100</v>
      </c>
      <c r="B12" s="34"/>
      <c r="C12" s="45">
        <f>+C11/C8</f>
        <v>19.23076923076923</v>
      </c>
      <c r="D12" s="34"/>
      <c r="E12" s="34"/>
      <c r="F12" s="34"/>
      <c r="H12" s="46"/>
      <c r="I12" s="34"/>
      <c r="J12" s="35"/>
      <c r="K12" s="36"/>
      <c r="L12" s="37"/>
      <c r="M12" s="38"/>
      <c r="N12" s="39">
        <f t="shared" si="0"/>
        <v>0</v>
      </c>
      <c r="O12" s="40">
        <f t="shared" si="1"/>
        <v>0</v>
      </c>
      <c r="P12" s="34"/>
      <c r="Q12" s="49"/>
    </row>
    <row r="13" spans="1:17" x14ac:dyDescent="0.55000000000000004">
      <c r="A13" s="48" t="s">
        <v>101</v>
      </c>
      <c r="B13" s="34"/>
      <c r="C13" s="47">
        <v>24</v>
      </c>
      <c r="D13" s="34"/>
      <c r="E13" s="34"/>
      <c r="F13" s="34"/>
      <c r="H13" s="34"/>
      <c r="I13" s="34"/>
      <c r="J13" s="35"/>
      <c r="K13" s="36"/>
      <c r="L13" s="37"/>
      <c r="M13" s="38"/>
      <c r="N13" s="39">
        <f>+L13*I13</f>
        <v>0</v>
      </c>
      <c r="O13" s="40">
        <f t="shared" si="1"/>
        <v>0</v>
      </c>
      <c r="P13" s="34"/>
      <c r="Q13" s="49"/>
    </row>
    <row r="14" spans="1:17" ht="25.15" x14ac:dyDescent="0.65">
      <c r="A14" s="126" t="s">
        <v>102</v>
      </c>
      <c r="B14" s="123"/>
      <c r="C14" s="127">
        <v>16</v>
      </c>
      <c r="D14" s="22"/>
      <c r="E14" s="22"/>
      <c r="F14" s="22"/>
      <c r="H14" s="34"/>
      <c r="I14" s="34"/>
      <c r="J14" s="35"/>
      <c r="K14" s="36"/>
      <c r="L14" s="37"/>
      <c r="M14" s="38"/>
      <c r="N14" s="39">
        <f t="shared" si="0"/>
        <v>0</v>
      </c>
      <c r="O14" s="40">
        <f t="shared" si="1"/>
        <v>0</v>
      </c>
      <c r="P14" s="34"/>
      <c r="Q14" s="49"/>
    </row>
    <row r="15" spans="1:17" x14ac:dyDescent="0.55000000000000004">
      <c r="A15" s="22" t="s">
        <v>103</v>
      </c>
      <c r="B15" s="22"/>
      <c r="C15" s="107">
        <f>+C13*C14</f>
        <v>384</v>
      </c>
      <c r="D15" s="22"/>
      <c r="E15" s="22" t="s">
        <v>77</v>
      </c>
      <c r="F15" s="22"/>
      <c r="H15" s="34"/>
      <c r="I15" s="34"/>
      <c r="J15" s="53"/>
      <c r="K15" s="54"/>
      <c r="L15" s="55"/>
      <c r="M15" s="56"/>
      <c r="N15" s="57">
        <f t="shared" si="0"/>
        <v>0</v>
      </c>
      <c r="O15" s="40">
        <f t="shared" si="1"/>
        <v>0</v>
      </c>
      <c r="P15" s="34"/>
      <c r="Q15" s="49"/>
    </row>
    <row r="16" spans="1:17" x14ac:dyDescent="0.55000000000000004">
      <c r="A16" s="22" t="s">
        <v>78</v>
      </c>
      <c r="B16" s="22"/>
      <c r="C16" s="45">
        <f>+C17*C18</f>
        <v>1350</v>
      </c>
      <c r="D16" s="34"/>
      <c r="E16" s="51"/>
      <c r="F16" s="34"/>
      <c r="H16" s="34"/>
      <c r="I16" s="34"/>
      <c r="J16" s="58"/>
      <c r="K16" s="36"/>
      <c r="L16" s="37"/>
      <c r="M16" s="38"/>
      <c r="N16" s="39"/>
      <c r="O16" s="40"/>
      <c r="P16" s="34"/>
      <c r="Q16" s="49"/>
    </row>
    <row r="17" spans="1:17" ht="23.25" thickBot="1" x14ac:dyDescent="0.9">
      <c r="A17" s="22" t="s">
        <v>79</v>
      </c>
      <c r="B17" s="22"/>
      <c r="C17" s="45">
        <f>+C15/12*C3/16*60</f>
        <v>1500</v>
      </c>
      <c r="D17" s="22"/>
      <c r="E17" s="52">
        <f>+C17/C2/60</f>
        <v>1.6</v>
      </c>
      <c r="F17" s="22"/>
      <c r="H17" s="22" t="s">
        <v>60</v>
      </c>
      <c r="I17" s="22"/>
      <c r="J17" s="60">
        <f>SUM(J3:J16)</f>
        <v>504.1</v>
      </c>
      <c r="K17" s="36"/>
      <c r="L17" s="61"/>
      <c r="M17" s="61"/>
      <c r="N17" s="62">
        <f>SUM(N3:N15)</f>
        <v>106.6</v>
      </c>
      <c r="O17" s="40">
        <f>N17/$C$27</f>
        <v>0.24337899543378994</v>
      </c>
      <c r="P17" s="22"/>
      <c r="Q17" s="63"/>
    </row>
    <row r="18" spans="1:17" ht="23.25" thickTop="1" x14ac:dyDescent="0.85">
      <c r="A18" s="22" t="s">
        <v>80</v>
      </c>
      <c r="B18" s="22"/>
      <c r="C18" s="46">
        <v>0.9</v>
      </c>
      <c r="D18" s="22"/>
      <c r="E18" s="52"/>
      <c r="F18" s="22" t="s">
        <v>59</v>
      </c>
      <c r="H18" s="22"/>
      <c r="I18" s="22"/>
      <c r="J18" s="63"/>
      <c r="K18" s="65"/>
      <c r="L18" s="61"/>
      <c r="M18" s="61"/>
      <c r="N18" s="66"/>
      <c r="O18" s="67"/>
      <c r="P18" s="22"/>
      <c r="Q18" s="63"/>
    </row>
    <row r="19" spans="1:17" ht="21" thickBot="1" x14ac:dyDescent="0.6">
      <c r="A19" s="22" t="s">
        <v>81</v>
      </c>
      <c r="B19" s="22"/>
      <c r="C19" s="45">
        <f>C17/C20</f>
        <v>150</v>
      </c>
      <c r="D19" s="22"/>
      <c r="E19" s="52"/>
      <c r="F19" s="22"/>
      <c r="H19" s="22"/>
      <c r="I19" s="22"/>
      <c r="J19" s="71" t="s">
        <v>62</v>
      </c>
      <c r="K19" s="71"/>
      <c r="L19" s="71" t="s">
        <v>63</v>
      </c>
      <c r="M19" s="71"/>
      <c r="N19" s="72" t="s">
        <v>64</v>
      </c>
      <c r="O19" s="22"/>
      <c r="P19" s="22"/>
      <c r="Q19" s="73"/>
    </row>
    <row r="20" spans="1:17" x14ac:dyDescent="0.55000000000000004">
      <c r="A20" s="22" t="s">
        <v>82</v>
      </c>
      <c r="B20" s="22"/>
      <c r="C20" s="47">
        <v>10</v>
      </c>
      <c r="D20" s="22"/>
      <c r="E20" s="52"/>
      <c r="F20" s="22"/>
      <c r="H20" s="22" t="s">
        <v>54</v>
      </c>
      <c r="I20" s="22"/>
      <c r="J20" s="74">
        <f>N20*$C$2</f>
        <v>3.8027968036529676</v>
      </c>
      <c r="K20" s="74"/>
      <c r="L20" s="75">
        <f>J20/$C$4</f>
        <v>0.19013984018264837</v>
      </c>
      <c r="M20" s="74"/>
      <c r="N20" s="76">
        <f>+N17/C27</f>
        <v>0.24337899543378994</v>
      </c>
      <c r="O20" s="22"/>
      <c r="P20" s="22"/>
      <c r="Q20" s="73"/>
    </row>
    <row r="21" spans="1:17" x14ac:dyDescent="0.55000000000000004">
      <c r="A21" s="22" t="s">
        <v>83</v>
      </c>
      <c r="B21" s="22"/>
      <c r="C21" s="59">
        <v>12</v>
      </c>
      <c r="D21" s="22"/>
      <c r="F21" s="22"/>
      <c r="H21" s="22"/>
      <c r="I21" s="22"/>
      <c r="J21" s="77"/>
      <c r="K21" s="77"/>
      <c r="L21" s="78"/>
      <c r="M21" s="77"/>
      <c r="N21" s="79"/>
      <c r="O21" s="22"/>
      <c r="P21" s="22"/>
      <c r="Q21" s="73"/>
    </row>
    <row r="22" spans="1:17" x14ac:dyDescent="0.55000000000000004">
      <c r="A22" s="22" t="s">
        <v>84</v>
      </c>
      <c r="B22" s="22"/>
      <c r="C22" s="64">
        <f>+C17/C2*C4/60</f>
        <v>32</v>
      </c>
      <c r="D22" s="22"/>
      <c r="E22" s="52"/>
      <c r="F22" s="22"/>
      <c r="H22" s="22" t="s">
        <v>65</v>
      </c>
      <c r="I22" s="22"/>
      <c r="J22" s="66">
        <f>+N22*C$2</f>
        <v>1.25</v>
      </c>
      <c r="K22" s="61"/>
      <c r="L22" s="80">
        <f>+J22/C$4</f>
        <v>6.25E-2</v>
      </c>
      <c r="M22" s="61"/>
      <c r="N22" s="81">
        <f>C21/C19</f>
        <v>0.08</v>
      </c>
      <c r="O22" s="22"/>
      <c r="P22" s="30" t="s">
        <v>115</v>
      </c>
      <c r="Q22" s="30"/>
    </row>
    <row r="23" spans="1:17" x14ac:dyDescent="0.55000000000000004">
      <c r="A23" s="22" t="s">
        <v>104</v>
      </c>
      <c r="B23" s="22"/>
      <c r="C23" s="68">
        <f>C7/52</f>
        <v>28846.153846153848</v>
      </c>
      <c r="D23" s="22"/>
      <c r="E23" s="52"/>
      <c r="F23" s="22"/>
      <c r="H23" s="22" t="s">
        <v>48</v>
      </c>
      <c r="I23" s="22"/>
      <c r="J23" s="66">
        <f>+N23*C$2</f>
        <v>0.69677910649819497</v>
      </c>
      <c r="K23" s="61"/>
      <c r="L23" s="80">
        <f>+J23/C$4</f>
        <v>3.483895532490975E-2</v>
      </c>
      <c r="M23" s="61"/>
      <c r="N23" s="81">
        <f>+P23/C$17</f>
        <v>4.4593862815884476E-2</v>
      </c>
      <c r="O23" s="22"/>
      <c r="P23" s="82">
        <f>+'Indirect Labor'!I9</f>
        <v>66.890794223826717</v>
      </c>
      <c r="Q23" s="22" t="s">
        <v>126</v>
      </c>
    </row>
    <row r="24" spans="1:17" x14ac:dyDescent="0.55000000000000004">
      <c r="H24" s="22" t="s">
        <v>66</v>
      </c>
      <c r="I24" s="22"/>
      <c r="J24" s="66">
        <f>+N24*C$2</f>
        <v>0.66251128158844763</v>
      </c>
      <c r="K24" s="61"/>
      <c r="L24" s="80">
        <f>+J24/C$4</f>
        <v>3.3125564079422382E-2</v>
      </c>
      <c r="M24" s="61"/>
      <c r="N24" s="81">
        <f>+P24/C$17</f>
        <v>4.2400722021660647E-2</v>
      </c>
      <c r="O24" s="83"/>
      <c r="P24" s="82">
        <f>+'Variable Cost'!I11</f>
        <v>63.601083032490969</v>
      </c>
      <c r="Q24" s="22" t="s">
        <v>124</v>
      </c>
    </row>
    <row r="25" spans="1:17" x14ac:dyDescent="0.55000000000000004">
      <c r="H25" s="22" t="s">
        <v>67</v>
      </c>
      <c r="I25" s="22"/>
      <c r="J25" s="66">
        <f>+N25*C$2</f>
        <v>2.4804605367556629</v>
      </c>
      <c r="K25" s="61"/>
      <c r="L25" s="80">
        <f>+J25/C$4</f>
        <v>0.12402302683778314</v>
      </c>
      <c r="M25" s="61"/>
      <c r="N25" s="81">
        <f>+P25/C$17</f>
        <v>0.15874947435236242</v>
      </c>
      <c r="O25" s="22"/>
      <c r="P25" s="82">
        <f>+'Fixed Cost'!O15</f>
        <v>238.12421152854364</v>
      </c>
      <c r="Q25" s="22" t="s">
        <v>125</v>
      </c>
    </row>
    <row r="26" spans="1:17" x14ac:dyDescent="0.55000000000000004">
      <c r="A26" s="22" t="s">
        <v>61</v>
      </c>
      <c r="B26" s="22"/>
      <c r="C26" s="69">
        <v>0.04</v>
      </c>
      <c r="D26" s="65"/>
      <c r="H26" s="84" t="s">
        <v>68</v>
      </c>
      <c r="I26" s="22"/>
      <c r="J26" s="85">
        <f>SUM(J22:J25)</f>
        <v>5.0897509248423054</v>
      </c>
      <c r="K26" s="86"/>
      <c r="L26" s="87">
        <f>SUM(L22:L25)</f>
        <v>0.25448754624211528</v>
      </c>
      <c r="M26" s="86"/>
      <c r="N26" s="88">
        <f>SUM(N22:N25)</f>
        <v>0.32574405918990756</v>
      </c>
      <c r="O26" s="22"/>
      <c r="P26" s="22"/>
      <c r="Q26" s="22"/>
    </row>
    <row r="27" spans="1:17" x14ac:dyDescent="0.55000000000000004">
      <c r="A27" s="22" t="s">
        <v>120</v>
      </c>
      <c r="B27" s="22"/>
      <c r="C27" s="63">
        <f>+C29*(J3)</f>
        <v>438</v>
      </c>
      <c r="D27" s="63"/>
      <c r="H27" s="22" t="s">
        <v>69</v>
      </c>
      <c r="I27" s="104" t="s">
        <v>70</v>
      </c>
      <c r="J27" s="66"/>
      <c r="K27" s="61"/>
      <c r="L27" s="80"/>
      <c r="M27" s="61"/>
      <c r="N27" s="81"/>
      <c r="O27" s="22"/>
      <c r="P27" s="22"/>
      <c r="Q27" s="22"/>
    </row>
    <row r="28" spans="1:17" x14ac:dyDescent="0.55000000000000004">
      <c r="A28" s="22" t="s">
        <v>92</v>
      </c>
      <c r="B28" s="22"/>
      <c r="C28" s="70">
        <v>1.5</v>
      </c>
      <c r="D28" s="63"/>
      <c r="H28" s="105" t="s">
        <v>106</v>
      </c>
      <c r="I28" s="34">
        <v>1</v>
      </c>
      <c r="J28" s="59">
        <v>0.75</v>
      </c>
      <c r="K28" s="39"/>
      <c r="L28" s="89">
        <f>+J28/C4</f>
        <v>3.7499999999999999E-2</v>
      </c>
      <c r="M28" s="39"/>
      <c r="N28" s="40">
        <f>+J28/C2</f>
        <v>4.8000000000000001E-2</v>
      </c>
      <c r="O28" s="22"/>
      <c r="P28" s="22"/>
      <c r="Q28" s="22"/>
    </row>
    <row r="29" spans="1:17" x14ac:dyDescent="0.55000000000000004">
      <c r="A29" s="22" t="s">
        <v>121</v>
      </c>
      <c r="B29" s="22"/>
      <c r="C29" s="108">
        <f>+C28-C26</f>
        <v>1.46</v>
      </c>
      <c r="D29" s="22"/>
      <c r="H29" s="105" t="s">
        <v>107</v>
      </c>
      <c r="I29" s="34">
        <f>+C4</f>
        <v>20</v>
      </c>
      <c r="J29" s="39">
        <f>L29*C4</f>
        <v>1.6</v>
      </c>
      <c r="K29" s="39"/>
      <c r="L29" s="90">
        <v>0.08</v>
      </c>
      <c r="M29" s="39"/>
      <c r="N29" s="40">
        <f>+(L29*C4)/C2</f>
        <v>0.1024</v>
      </c>
      <c r="O29" s="22"/>
      <c r="P29" s="22"/>
      <c r="Q29" s="22"/>
    </row>
    <row r="30" spans="1:17" x14ac:dyDescent="0.55000000000000004">
      <c r="H30" s="91" t="s">
        <v>71</v>
      </c>
      <c r="I30" s="34"/>
      <c r="J30" s="92">
        <f>SUM(J28:J29)</f>
        <v>2.35</v>
      </c>
      <c r="K30" s="93"/>
      <c r="L30" s="94">
        <f>SUM(L28:L29)</f>
        <v>0.11749999999999999</v>
      </c>
      <c r="M30" s="93"/>
      <c r="N30" s="95">
        <f>SUM(N28:N29)</f>
        <v>0.15040000000000001</v>
      </c>
      <c r="O30" s="22"/>
      <c r="P30" s="22"/>
      <c r="Q30" s="22"/>
    </row>
    <row r="31" spans="1:17" x14ac:dyDescent="0.55000000000000004">
      <c r="H31" s="34"/>
      <c r="I31" s="34"/>
      <c r="J31" s="39"/>
      <c r="K31" s="38"/>
      <c r="L31" s="89"/>
      <c r="M31" s="38"/>
      <c r="N31" s="40"/>
      <c r="O31" s="22"/>
      <c r="P31" s="22" t="s">
        <v>105</v>
      </c>
      <c r="Q31" s="22"/>
    </row>
    <row r="32" spans="1:17" x14ac:dyDescent="0.55000000000000004">
      <c r="H32" s="96" t="s">
        <v>72</v>
      </c>
      <c r="I32" s="22"/>
      <c r="J32" s="85">
        <f>J20+J26+J30</f>
        <v>11.242547728495273</v>
      </c>
      <c r="K32" s="86"/>
      <c r="L32" s="87">
        <f>L20+L26+L30</f>
        <v>0.56212738642476356</v>
      </c>
      <c r="M32" s="86"/>
      <c r="N32" s="88">
        <f>N20+N26+N30</f>
        <v>0.71952305462369748</v>
      </c>
      <c r="O32" s="22"/>
      <c r="P32" s="81">
        <f>+L32/C5</f>
        <v>4.6843948868730299E-2</v>
      </c>
      <c r="Q32" s="22"/>
    </row>
    <row r="33" spans="8:17" x14ac:dyDescent="0.55000000000000004">
      <c r="H33" s="96"/>
      <c r="I33" s="22"/>
      <c r="J33" s="97"/>
      <c r="K33" s="98"/>
      <c r="L33" s="99"/>
      <c r="M33" s="98"/>
      <c r="N33" s="100"/>
      <c r="O33" s="22"/>
      <c r="P33" s="81"/>
      <c r="Q33" s="22"/>
    </row>
    <row r="34" spans="8:17" x14ac:dyDescent="0.55000000000000004">
      <c r="H34" s="26" t="s">
        <v>17</v>
      </c>
      <c r="I34" s="118">
        <f>+'Base '!D15+'Base '!D16</f>
        <v>3000000</v>
      </c>
    </row>
    <row r="35" spans="8:17" x14ac:dyDescent="0.55000000000000004">
      <c r="H35" s="26" t="s">
        <v>128</v>
      </c>
      <c r="I35" s="120">
        <f>+'Press 6.5 in'!N32</f>
        <v>0.74123932523635794</v>
      </c>
    </row>
    <row r="36" spans="8:17" x14ac:dyDescent="0.55000000000000004">
      <c r="H36" s="26" t="s">
        <v>129</v>
      </c>
      <c r="I36" s="120">
        <f>+N32</f>
        <v>0.71952305462369748</v>
      </c>
    </row>
    <row r="37" spans="8:17" x14ac:dyDescent="0.55000000000000004">
      <c r="H37" s="26" t="s">
        <v>130</v>
      </c>
      <c r="I37" s="120">
        <f>+I36-I35</f>
        <v>-2.171627061266046E-2</v>
      </c>
    </row>
    <row r="38" spans="8:17" x14ac:dyDescent="0.55000000000000004">
      <c r="H38" s="26" t="s">
        <v>131</v>
      </c>
      <c r="I38" s="119">
        <f>+I37*I34</f>
        <v>-65148.811837981382</v>
      </c>
    </row>
    <row r="47" spans="8:17" x14ac:dyDescent="0.55000000000000004">
      <c r="H47" s="22"/>
      <c r="I47" s="22"/>
      <c r="J47" s="22"/>
      <c r="K47" s="102"/>
    </row>
    <row r="48" spans="8:17" x14ac:dyDescent="0.55000000000000004">
      <c r="H48" s="22"/>
      <c r="I48" s="22"/>
      <c r="J48" s="22"/>
      <c r="K48" s="22"/>
    </row>
    <row r="49" spans="2:26" x14ac:dyDescent="0.55000000000000004">
      <c r="I49" s="22"/>
      <c r="J49" s="22"/>
      <c r="K49" s="22"/>
    </row>
    <row r="50" spans="2:26" x14ac:dyDescent="0.55000000000000004">
      <c r="H50" s="34"/>
      <c r="I50" s="34"/>
      <c r="J50" s="34"/>
      <c r="K50" s="22"/>
    </row>
    <row r="51" spans="2:26" x14ac:dyDescent="0.55000000000000004">
      <c r="H51" s="34"/>
      <c r="I51" s="34"/>
      <c r="J51" s="34"/>
      <c r="K51" s="22"/>
    </row>
    <row r="52" spans="2:26" x14ac:dyDescent="0.55000000000000004">
      <c r="H52" s="22"/>
      <c r="I52" s="22"/>
      <c r="J52" s="22"/>
      <c r="K52" s="103">
        <v>36</v>
      </c>
    </row>
    <row r="53" spans="2:26" x14ac:dyDescent="0.55000000000000004">
      <c r="H53" s="22"/>
      <c r="I53" s="22"/>
      <c r="J53" s="22"/>
      <c r="K53" s="103">
        <v>24</v>
      </c>
    </row>
    <row r="54" spans="2:26" x14ac:dyDescent="0.55000000000000004">
      <c r="H54" s="34"/>
      <c r="I54" s="34"/>
      <c r="J54" s="22"/>
      <c r="K54" s="103">
        <v>25</v>
      </c>
    </row>
    <row r="55" spans="2:26" x14ac:dyDescent="0.55000000000000004">
      <c r="H55" s="34"/>
      <c r="I55" s="34"/>
      <c r="J55" s="22"/>
      <c r="K55" s="103">
        <v>26</v>
      </c>
    </row>
    <row r="56" spans="2:26" x14ac:dyDescent="0.55000000000000004">
      <c r="I56" s="22"/>
      <c r="J56" s="22"/>
      <c r="K56" s="103">
        <v>27</v>
      </c>
    </row>
    <row r="57" spans="2:26" x14ac:dyDescent="0.55000000000000004">
      <c r="H57" s="22"/>
      <c r="I57" s="22"/>
      <c r="J57" s="22"/>
      <c r="K57" s="103">
        <v>28</v>
      </c>
    </row>
    <row r="58" spans="2:26" x14ac:dyDescent="0.55000000000000004">
      <c r="H58" s="22"/>
      <c r="I58" s="22"/>
      <c r="J58" s="22"/>
      <c r="K58" s="103">
        <v>29</v>
      </c>
    </row>
    <row r="59" spans="2:26" x14ac:dyDescent="0.55000000000000004">
      <c r="I59" s="22"/>
      <c r="J59" s="22"/>
      <c r="K59" s="103">
        <v>30</v>
      </c>
    </row>
    <row r="60" spans="2:26" x14ac:dyDescent="0.55000000000000004">
      <c r="H60" s="22"/>
      <c r="I60" s="22"/>
      <c r="J60" s="22"/>
      <c r="K60" s="103">
        <v>31</v>
      </c>
    </row>
    <row r="61" spans="2:26" x14ac:dyDescent="0.55000000000000004">
      <c r="H61" s="22"/>
      <c r="I61" s="22"/>
      <c r="J61" s="22"/>
      <c r="K61" s="103">
        <v>32</v>
      </c>
    </row>
    <row r="62" spans="2:26" x14ac:dyDescent="0.55000000000000004">
      <c r="H62" s="22"/>
      <c r="I62" s="22"/>
      <c r="J62" s="22"/>
      <c r="K62" s="103">
        <v>33</v>
      </c>
    </row>
    <row r="63" spans="2:26" x14ac:dyDescent="0.55000000000000004">
      <c r="B63" s="22"/>
      <c r="C63" s="22"/>
      <c r="D63" s="52"/>
      <c r="E63" s="22"/>
      <c r="F63" s="52"/>
      <c r="G63" s="22"/>
      <c r="H63" s="22"/>
      <c r="I63" s="22"/>
      <c r="J63" s="22"/>
      <c r="K63" s="103">
        <v>34</v>
      </c>
    </row>
    <row r="64" spans="2:26" x14ac:dyDescent="0.55000000000000004">
      <c r="B64" s="22"/>
      <c r="C64" s="22"/>
      <c r="D64" s="22"/>
      <c r="E64" s="22"/>
      <c r="F64" s="52"/>
      <c r="G64" s="22"/>
      <c r="H64" s="22"/>
      <c r="I64" s="22"/>
      <c r="J64" s="22"/>
      <c r="K64" s="103">
        <v>35</v>
      </c>
      <c r="W64" s="22"/>
      <c r="X64" s="22"/>
      <c r="Y64" s="22"/>
      <c r="Z64" s="22"/>
    </row>
    <row r="65" spans="2:26" x14ac:dyDescent="0.55000000000000004">
      <c r="B65" s="22"/>
      <c r="C65" s="22"/>
      <c r="D65" s="22"/>
      <c r="E65" s="22"/>
      <c r="F65" s="52"/>
      <c r="G65" s="22"/>
      <c r="H65" s="22"/>
      <c r="I65" s="22"/>
      <c r="J65" s="22"/>
      <c r="W65" s="22"/>
      <c r="X65" s="22"/>
      <c r="Y65" s="22"/>
      <c r="Z65" s="10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65"/>
  <sheetViews>
    <sheetView topLeftCell="A19" workbookViewId="0">
      <selection activeCell="N37" sqref="N37"/>
    </sheetView>
  </sheetViews>
  <sheetFormatPr defaultColWidth="9.1328125" defaultRowHeight="20.65" x14ac:dyDescent="0.55000000000000004"/>
  <cols>
    <col min="1" max="1" width="9.1328125" style="26"/>
    <col min="2" max="2" width="21.73046875" style="26" customWidth="1"/>
    <col min="3" max="3" width="18.1328125" style="26" customWidth="1"/>
    <col min="4" max="4" width="14.86328125" style="26" bestFit="1" customWidth="1"/>
    <col min="5" max="5" width="9.3984375" style="26" bestFit="1" customWidth="1"/>
    <col min="6" max="6" width="10" style="26" bestFit="1" customWidth="1"/>
    <col min="7" max="7" width="9.1328125" style="26"/>
    <col min="8" max="8" width="19.86328125" style="26" customWidth="1"/>
    <col min="9" max="9" width="16.3984375" style="26" customWidth="1"/>
    <col min="10" max="10" width="11.1328125" style="26" bestFit="1" customWidth="1"/>
    <col min="11" max="11" width="15.59765625" style="26" customWidth="1"/>
    <col min="12" max="12" width="16.86328125" style="26" customWidth="1"/>
    <col min="13" max="13" width="6" style="26" customWidth="1"/>
    <col min="14" max="14" width="11.3984375" style="26" customWidth="1"/>
    <col min="15" max="15" width="18.73046875" style="26" customWidth="1"/>
    <col min="16" max="16" width="13.3984375" style="26" customWidth="1"/>
    <col min="17" max="17" width="9.265625" style="26" bestFit="1" customWidth="1"/>
    <col min="18" max="16384" width="9.1328125" style="26"/>
  </cols>
  <sheetData>
    <row r="1" spans="1:17" x14ac:dyDescent="0.55000000000000004">
      <c r="B1" s="21" t="s">
        <v>50</v>
      </c>
      <c r="C1" s="83" t="s">
        <v>99</v>
      </c>
      <c r="D1" s="22"/>
      <c r="E1" s="22" t="s">
        <v>136</v>
      </c>
      <c r="F1" s="23"/>
      <c r="G1" s="24"/>
      <c r="H1" s="24"/>
      <c r="I1" s="24"/>
      <c r="J1" s="25"/>
      <c r="K1" s="22"/>
    </row>
    <row r="2" spans="1:17" x14ac:dyDescent="0.55000000000000004">
      <c r="B2" s="21" t="s">
        <v>51</v>
      </c>
      <c r="C2" s="27">
        <v>15.625</v>
      </c>
      <c r="D2" s="22"/>
      <c r="E2" s="22"/>
      <c r="F2" s="28"/>
      <c r="G2" s="28"/>
      <c r="H2" s="29" t="s">
        <v>54</v>
      </c>
      <c r="I2" s="29"/>
      <c r="J2" s="30" t="s">
        <v>55</v>
      </c>
      <c r="K2" s="30" t="s">
        <v>56</v>
      </c>
      <c r="L2" s="30" t="s">
        <v>57</v>
      </c>
      <c r="M2" s="30"/>
      <c r="N2" s="31" t="s">
        <v>58</v>
      </c>
      <c r="O2" s="32" t="s">
        <v>113</v>
      </c>
      <c r="P2" s="21"/>
      <c r="Q2" s="21"/>
    </row>
    <row r="3" spans="1:17" x14ac:dyDescent="0.55000000000000004">
      <c r="B3" s="21" t="s">
        <v>52</v>
      </c>
      <c r="C3" s="106">
        <v>12.5</v>
      </c>
      <c r="D3" s="22"/>
      <c r="E3" s="22"/>
      <c r="F3" s="25"/>
      <c r="G3" s="25"/>
      <c r="H3" s="34" t="s">
        <v>86</v>
      </c>
      <c r="I3" s="34"/>
      <c r="J3" s="35">
        <v>300</v>
      </c>
      <c r="K3" s="36">
        <v>1</v>
      </c>
      <c r="L3" s="37">
        <v>0.18</v>
      </c>
      <c r="M3" s="38"/>
      <c r="N3" s="39">
        <v>54</v>
      </c>
      <c r="O3" s="40">
        <v>0.12328767123287671</v>
      </c>
      <c r="P3" s="41"/>
      <c r="Q3" s="34"/>
    </row>
    <row r="4" spans="1:17" x14ac:dyDescent="0.55000000000000004">
      <c r="B4" s="21" t="s">
        <v>53</v>
      </c>
      <c r="C4" s="83">
        <v>20</v>
      </c>
      <c r="D4" s="21"/>
      <c r="E4" s="22"/>
      <c r="F4" s="22"/>
      <c r="G4" s="22"/>
      <c r="H4" s="34"/>
      <c r="I4" s="34"/>
      <c r="J4" s="35"/>
      <c r="K4" s="36"/>
      <c r="L4" s="37"/>
      <c r="M4" s="38"/>
      <c r="N4" s="39">
        <v>0</v>
      </c>
      <c r="O4" s="40">
        <v>0</v>
      </c>
      <c r="P4" s="34"/>
      <c r="Q4" s="34"/>
    </row>
    <row r="5" spans="1:17" x14ac:dyDescent="0.55000000000000004">
      <c r="B5" s="21" t="s">
        <v>85</v>
      </c>
      <c r="C5" s="83">
        <v>12</v>
      </c>
      <c r="D5" s="22"/>
      <c r="E5" s="22"/>
      <c r="F5" s="22"/>
      <c r="G5" s="22"/>
      <c r="H5" s="34"/>
      <c r="I5" s="34"/>
      <c r="J5" s="35"/>
      <c r="K5" s="36"/>
      <c r="L5" s="37"/>
      <c r="M5" s="38"/>
      <c r="N5" s="39">
        <v>0</v>
      </c>
      <c r="O5" s="40">
        <v>0</v>
      </c>
      <c r="P5" s="44"/>
      <c r="Q5" s="45"/>
    </row>
    <row r="6" spans="1:17" x14ac:dyDescent="0.55000000000000004">
      <c r="H6" s="34" t="s">
        <v>87</v>
      </c>
      <c r="I6" s="34"/>
      <c r="J6" s="35">
        <v>150</v>
      </c>
      <c r="K6" s="36">
        <v>0.5</v>
      </c>
      <c r="L6" s="37">
        <v>0</v>
      </c>
      <c r="M6" s="38"/>
      <c r="N6" s="39">
        <v>0</v>
      </c>
      <c r="O6" s="40">
        <v>0</v>
      </c>
      <c r="P6" s="41"/>
      <c r="Q6" s="34"/>
    </row>
    <row r="7" spans="1:17" ht="25.15" x14ac:dyDescent="0.65">
      <c r="A7" s="123" t="s">
        <v>8</v>
      </c>
      <c r="B7" s="123"/>
      <c r="C7" s="128">
        <v>3000000</v>
      </c>
      <c r="D7" s="22"/>
      <c r="E7" s="22"/>
      <c r="F7" s="22"/>
      <c r="H7" s="46" t="s">
        <v>88</v>
      </c>
      <c r="I7" s="34"/>
      <c r="J7" s="35">
        <v>30</v>
      </c>
      <c r="K7" s="36">
        <v>0.1</v>
      </c>
      <c r="L7" s="37">
        <v>0.55000000000000004</v>
      </c>
      <c r="M7" s="38"/>
      <c r="N7" s="39">
        <v>16.5</v>
      </c>
      <c r="O7" s="40">
        <v>3.7671232876712327E-2</v>
      </c>
      <c r="P7" s="34"/>
      <c r="Q7" s="34"/>
    </row>
    <row r="8" spans="1:17" x14ac:dyDescent="0.55000000000000004">
      <c r="A8" s="22" t="s">
        <v>73</v>
      </c>
      <c r="B8" s="22"/>
      <c r="C8" s="42">
        <v>52</v>
      </c>
      <c r="D8" s="22"/>
      <c r="E8" s="22"/>
      <c r="F8" s="22"/>
      <c r="H8" s="34" t="s">
        <v>89</v>
      </c>
      <c r="I8" s="34"/>
      <c r="J8" s="35">
        <v>24</v>
      </c>
      <c r="K8" s="36">
        <v>0.08</v>
      </c>
      <c r="L8" s="37">
        <v>1.5</v>
      </c>
      <c r="M8" s="38"/>
      <c r="N8" s="39">
        <v>36</v>
      </c>
      <c r="O8" s="40">
        <v>8.2191780821917804E-2</v>
      </c>
      <c r="P8" s="34"/>
      <c r="Q8" s="34"/>
    </row>
    <row r="9" spans="1:17" x14ac:dyDescent="0.55000000000000004">
      <c r="A9" s="22" t="s">
        <v>74</v>
      </c>
      <c r="B9" s="22"/>
      <c r="C9" s="43">
        <v>57692.307692307695</v>
      </c>
      <c r="D9" s="22"/>
      <c r="E9" s="34"/>
      <c r="F9" s="22"/>
      <c r="H9" s="34" t="s">
        <v>91</v>
      </c>
      <c r="I9" s="34"/>
      <c r="J9" s="35">
        <v>0.1</v>
      </c>
      <c r="K9" s="36">
        <v>3.3333333333333338E-4</v>
      </c>
      <c r="L9" s="37">
        <v>1</v>
      </c>
      <c r="M9" s="38"/>
      <c r="N9" s="39">
        <v>0.1</v>
      </c>
      <c r="O9" s="40">
        <v>2.2831050228310504E-4</v>
      </c>
      <c r="P9" s="34"/>
      <c r="Q9" s="49"/>
    </row>
    <row r="10" spans="1:17" x14ac:dyDescent="0.55000000000000004">
      <c r="A10" s="22" t="s">
        <v>75</v>
      </c>
      <c r="B10" s="22"/>
      <c r="C10" s="43">
        <v>2370.3703703703704</v>
      </c>
      <c r="D10" s="22"/>
      <c r="E10" s="22"/>
      <c r="F10" s="22"/>
      <c r="H10" s="34" t="s">
        <v>90</v>
      </c>
      <c r="I10" s="34"/>
      <c r="J10" s="35"/>
      <c r="K10" s="36">
        <v>0</v>
      </c>
      <c r="L10" s="37"/>
      <c r="M10" s="38"/>
      <c r="N10" s="39">
        <v>0</v>
      </c>
      <c r="O10" s="40">
        <v>0</v>
      </c>
      <c r="P10" s="34"/>
      <c r="Q10" s="49"/>
    </row>
    <row r="11" spans="1:17" x14ac:dyDescent="0.55000000000000004">
      <c r="A11" s="22" t="s">
        <v>76</v>
      </c>
      <c r="B11" s="22"/>
      <c r="C11" s="43">
        <v>2133.3333333333335</v>
      </c>
      <c r="D11" s="22"/>
      <c r="E11" s="22"/>
      <c r="F11" s="22"/>
      <c r="H11" s="46"/>
      <c r="I11" s="34"/>
      <c r="J11" s="35"/>
      <c r="K11" s="36"/>
      <c r="L11" s="37"/>
      <c r="M11" s="38"/>
      <c r="N11" s="39">
        <v>0</v>
      </c>
      <c r="O11" s="40">
        <v>0</v>
      </c>
      <c r="P11" s="34"/>
      <c r="Q11" s="49"/>
    </row>
    <row r="12" spans="1:17" x14ac:dyDescent="0.55000000000000004">
      <c r="A12" s="34" t="s">
        <v>100</v>
      </c>
      <c r="B12" s="34"/>
      <c r="C12" s="45">
        <v>41.025641025641029</v>
      </c>
      <c r="D12" s="34"/>
      <c r="E12" s="34"/>
      <c r="F12" s="34"/>
      <c r="H12" s="46"/>
      <c r="I12" s="34"/>
      <c r="J12" s="35"/>
      <c r="K12" s="36"/>
      <c r="L12" s="37"/>
      <c r="M12" s="38"/>
      <c r="N12" s="39">
        <v>0</v>
      </c>
      <c r="O12" s="40">
        <v>0</v>
      </c>
      <c r="P12" s="34"/>
      <c r="Q12" s="49"/>
    </row>
    <row r="13" spans="1:17" x14ac:dyDescent="0.55000000000000004">
      <c r="A13" s="48" t="s">
        <v>101</v>
      </c>
      <c r="B13" s="34"/>
      <c r="C13" s="47">
        <v>24</v>
      </c>
      <c r="D13" s="34"/>
      <c r="E13" s="34"/>
      <c r="F13" s="34"/>
      <c r="H13" s="34"/>
      <c r="I13" s="34"/>
      <c r="J13" s="35"/>
      <c r="K13" s="36"/>
      <c r="L13" s="37"/>
      <c r="M13" s="38"/>
      <c r="N13" s="39">
        <v>0</v>
      </c>
      <c r="O13" s="40">
        <v>0</v>
      </c>
      <c r="P13" s="34"/>
      <c r="Q13" s="49"/>
    </row>
    <row r="14" spans="1:17" x14ac:dyDescent="0.55000000000000004">
      <c r="A14" s="48" t="s">
        <v>102</v>
      </c>
      <c r="B14" s="22"/>
      <c r="C14" s="50">
        <v>15</v>
      </c>
      <c r="D14" s="22"/>
      <c r="E14" s="22"/>
      <c r="F14" s="22"/>
      <c r="H14" s="34"/>
      <c r="I14" s="34"/>
      <c r="J14" s="35"/>
      <c r="K14" s="36"/>
      <c r="L14" s="37"/>
      <c r="M14" s="38"/>
      <c r="N14" s="39">
        <v>0</v>
      </c>
      <c r="O14" s="40">
        <v>0</v>
      </c>
      <c r="P14" s="34"/>
      <c r="Q14" s="49"/>
    </row>
    <row r="15" spans="1:17" x14ac:dyDescent="0.55000000000000004">
      <c r="A15" s="22" t="s">
        <v>103</v>
      </c>
      <c r="B15" s="22"/>
      <c r="C15" s="107">
        <v>360</v>
      </c>
      <c r="D15" s="22"/>
      <c r="E15" s="22" t="s">
        <v>77</v>
      </c>
      <c r="F15" s="22"/>
      <c r="H15" s="34"/>
      <c r="I15" s="34"/>
      <c r="J15" s="53"/>
      <c r="K15" s="54"/>
      <c r="L15" s="55"/>
      <c r="M15" s="56"/>
      <c r="N15" s="57">
        <v>0</v>
      </c>
      <c r="O15" s="40">
        <v>0</v>
      </c>
      <c r="P15" s="34"/>
      <c r="Q15" s="49"/>
    </row>
    <row r="16" spans="1:17" x14ac:dyDescent="0.55000000000000004">
      <c r="A16" s="22" t="s">
        <v>78</v>
      </c>
      <c r="B16" s="22"/>
      <c r="C16" s="45">
        <v>1265.625</v>
      </c>
      <c r="D16" s="34"/>
      <c r="E16" s="51"/>
      <c r="F16" s="34"/>
      <c r="H16" s="34"/>
      <c r="I16" s="34"/>
      <c r="J16" s="58"/>
      <c r="K16" s="36"/>
      <c r="L16" s="37"/>
      <c r="M16" s="38"/>
      <c r="N16" s="39"/>
      <c r="O16" s="40"/>
      <c r="P16" s="34"/>
      <c r="Q16" s="49"/>
    </row>
    <row r="17" spans="1:17" ht="23.25" thickBot="1" x14ac:dyDescent="0.9">
      <c r="A17" s="22" t="s">
        <v>79</v>
      </c>
      <c r="B17" s="22"/>
      <c r="C17" s="45">
        <v>1406.25</v>
      </c>
      <c r="D17" s="22"/>
      <c r="E17" s="52">
        <v>1.5</v>
      </c>
      <c r="F17" s="22"/>
      <c r="H17" s="22" t="s">
        <v>60</v>
      </c>
      <c r="I17" s="22"/>
      <c r="J17" s="60">
        <v>504.1</v>
      </c>
      <c r="K17" s="36"/>
      <c r="L17" s="61"/>
      <c r="M17" s="61"/>
      <c r="N17" s="62">
        <v>106.6</v>
      </c>
      <c r="O17" s="40">
        <v>0.24337899543378994</v>
      </c>
      <c r="P17" s="22"/>
      <c r="Q17" s="63"/>
    </row>
    <row r="18" spans="1:17" ht="23.25" thickTop="1" x14ac:dyDescent="0.85">
      <c r="A18" s="22" t="s">
        <v>80</v>
      </c>
      <c r="B18" s="22"/>
      <c r="C18" s="46">
        <v>0.9</v>
      </c>
      <c r="D18" s="22"/>
      <c r="E18" s="52"/>
      <c r="F18" s="22" t="s">
        <v>59</v>
      </c>
      <c r="H18" s="22"/>
      <c r="I18" s="22"/>
      <c r="J18" s="63"/>
      <c r="K18" s="65"/>
      <c r="L18" s="61"/>
      <c r="M18" s="61"/>
      <c r="N18" s="66"/>
      <c r="O18" s="67"/>
      <c r="P18" s="22"/>
      <c r="Q18" s="63"/>
    </row>
    <row r="19" spans="1:17" ht="21" thickBot="1" x14ac:dyDescent="0.6">
      <c r="A19" s="22" t="s">
        <v>81</v>
      </c>
      <c r="B19" s="22"/>
      <c r="C19" s="45">
        <v>140.625</v>
      </c>
      <c r="D19" s="22"/>
      <c r="E19" s="52"/>
      <c r="F19" s="22"/>
      <c r="H19" s="22"/>
      <c r="I19" s="22"/>
      <c r="J19" s="71" t="s">
        <v>62</v>
      </c>
      <c r="K19" s="71"/>
      <c r="L19" s="71" t="s">
        <v>63</v>
      </c>
      <c r="M19" s="71"/>
      <c r="N19" s="72" t="s">
        <v>64</v>
      </c>
      <c r="O19" s="22"/>
      <c r="P19" s="22"/>
      <c r="Q19" s="73"/>
    </row>
    <row r="20" spans="1:17" x14ac:dyDescent="0.55000000000000004">
      <c r="A20" s="22" t="s">
        <v>82</v>
      </c>
      <c r="B20" s="22"/>
      <c r="C20" s="47">
        <v>10</v>
      </c>
      <c r="D20" s="22"/>
      <c r="E20" s="52"/>
      <c r="F20" s="22"/>
      <c r="H20" s="22" t="s">
        <v>54</v>
      </c>
      <c r="I20" s="22"/>
      <c r="J20" s="74">
        <v>3.8027968036529676</v>
      </c>
      <c r="K20" s="74"/>
      <c r="L20" s="75">
        <v>0.19013984018264837</v>
      </c>
      <c r="M20" s="74"/>
      <c r="N20" s="76">
        <v>0.24337899543378994</v>
      </c>
      <c r="O20" s="22"/>
      <c r="P20" s="22"/>
      <c r="Q20" s="73"/>
    </row>
    <row r="21" spans="1:17" x14ac:dyDescent="0.55000000000000004">
      <c r="A21" s="22" t="s">
        <v>83</v>
      </c>
      <c r="B21" s="22"/>
      <c r="C21" s="59">
        <v>12</v>
      </c>
      <c r="D21" s="22"/>
      <c r="F21" s="22"/>
      <c r="H21" s="22"/>
      <c r="I21" s="22"/>
      <c r="J21" s="77"/>
      <c r="K21" s="77"/>
      <c r="L21" s="78"/>
      <c r="M21" s="77"/>
      <c r="N21" s="79"/>
      <c r="O21" s="22"/>
      <c r="P21" s="22"/>
      <c r="Q21" s="73"/>
    </row>
    <row r="22" spans="1:17" x14ac:dyDescent="0.55000000000000004">
      <c r="A22" s="22" t="s">
        <v>84</v>
      </c>
      <c r="B22" s="22"/>
      <c r="C22" s="64">
        <v>30</v>
      </c>
      <c r="D22" s="22"/>
      <c r="E22" s="52"/>
      <c r="F22" s="22"/>
      <c r="H22" s="22" t="s">
        <v>65</v>
      </c>
      <c r="I22" s="22"/>
      <c r="J22" s="66">
        <v>1.3333333333333333</v>
      </c>
      <c r="K22" s="61"/>
      <c r="L22" s="80">
        <v>6.6666666666666666E-2</v>
      </c>
      <c r="M22" s="61"/>
      <c r="N22" s="81">
        <v>8.533333333333333E-2</v>
      </c>
      <c r="O22" s="22"/>
      <c r="P22" s="30" t="s">
        <v>115</v>
      </c>
      <c r="Q22" s="30"/>
    </row>
    <row r="23" spans="1:17" x14ac:dyDescent="0.55000000000000004">
      <c r="A23" s="22" t="s">
        <v>104</v>
      </c>
      <c r="B23" s="22"/>
      <c r="C23" s="68">
        <v>57692.307692307695</v>
      </c>
      <c r="D23" s="22"/>
      <c r="E23" s="52"/>
      <c r="F23" s="22"/>
      <c r="H23" s="22" t="s">
        <v>48</v>
      </c>
      <c r="I23" s="22"/>
      <c r="J23" s="66">
        <v>0.37161552346570398</v>
      </c>
      <c r="K23" s="61"/>
      <c r="L23" s="80">
        <v>1.8580776173285199E-2</v>
      </c>
      <c r="M23" s="61"/>
      <c r="N23" s="81">
        <v>2.3783393501805056E-2</v>
      </c>
      <c r="O23" s="22"/>
      <c r="P23" s="82">
        <v>33.445397111913358</v>
      </c>
      <c r="Q23" s="22" t="s">
        <v>126</v>
      </c>
    </row>
    <row r="24" spans="1:17" x14ac:dyDescent="0.55000000000000004">
      <c r="H24" s="22" t="s">
        <v>66</v>
      </c>
      <c r="I24" s="22"/>
      <c r="J24" s="66">
        <v>0.70667870036101077</v>
      </c>
      <c r="K24" s="61"/>
      <c r="L24" s="80">
        <v>3.5333935018050537E-2</v>
      </c>
      <c r="M24" s="61"/>
      <c r="N24" s="81">
        <v>4.5227436823104691E-2</v>
      </c>
      <c r="O24" s="83"/>
      <c r="P24" s="82">
        <v>63.601083032490969</v>
      </c>
      <c r="Q24" s="22" t="s">
        <v>124</v>
      </c>
    </row>
    <row r="25" spans="1:17" x14ac:dyDescent="0.55000000000000004">
      <c r="H25" s="22" t="s">
        <v>67</v>
      </c>
      <c r="I25" s="22"/>
      <c r="J25" s="66">
        <v>1.3229122862696869</v>
      </c>
      <c r="K25" s="61"/>
      <c r="L25" s="80">
        <v>6.6145614313484341E-2</v>
      </c>
      <c r="M25" s="61"/>
      <c r="N25" s="81">
        <v>8.4666386321259959E-2</v>
      </c>
      <c r="O25" s="22"/>
      <c r="P25" s="82">
        <v>119.06210576427182</v>
      </c>
      <c r="Q25" s="22" t="s">
        <v>125</v>
      </c>
    </row>
    <row r="26" spans="1:17" x14ac:dyDescent="0.55000000000000004">
      <c r="A26" s="22" t="s">
        <v>61</v>
      </c>
      <c r="B26" s="22"/>
      <c r="C26" s="69">
        <v>0.04</v>
      </c>
      <c r="D26" s="65"/>
      <c r="H26" s="84" t="s">
        <v>68</v>
      </c>
      <c r="I26" s="22"/>
      <c r="J26" s="85">
        <v>3.7345398434297348</v>
      </c>
      <c r="K26" s="86"/>
      <c r="L26" s="87">
        <v>0.18672699217148675</v>
      </c>
      <c r="M26" s="86"/>
      <c r="N26" s="88">
        <v>0.23901054997950305</v>
      </c>
      <c r="O26" s="22"/>
      <c r="P26" s="22"/>
      <c r="Q26" s="22"/>
    </row>
    <row r="27" spans="1:17" x14ac:dyDescent="0.55000000000000004">
      <c r="A27" s="22" t="s">
        <v>120</v>
      </c>
      <c r="B27" s="22"/>
      <c r="C27" s="63">
        <v>438</v>
      </c>
      <c r="D27" s="63"/>
      <c r="H27" s="22" t="s">
        <v>69</v>
      </c>
      <c r="I27" s="104" t="s">
        <v>70</v>
      </c>
      <c r="J27" s="66"/>
      <c r="K27" s="61"/>
      <c r="L27" s="80"/>
      <c r="M27" s="61"/>
      <c r="N27" s="81"/>
      <c r="O27" s="22"/>
      <c r="P27" s="22"/>
      <c r="Q27" s="22"/>
    </row>
    <row r="28" spans="1:17" x14ac:dyDescent="0.55000000000000004">
      <c r="A28" s="22" t="s">
        <v>92</v>
      </c>
      <c r="B28" s="22"/>
      <c r="C28" s="70">
        <v>1.5</v>
      </c>
      <c r="D28" s="63"/>
      <c r="H28" s="105" t="s">
        <v>106</v>
      </c>
      <c r="I28" s="34">
        <v>1</v>
      </c>
      <c r="J28" s="59">
        <v>0.75</v>
      </c>
      <c r="K28" s="39"/>
      <c r="L28" s="89">
        <v>3.7499999999999999E-2</v>
      </c>
      <c r="M28" s="39"/>
      <c r="N28" s="40">
        <v>4.8000000000000001E-2</v>
      </c>
      <c r="O28" s="22"/>
      <c r="P28" s="22"/>
      <c r="Q28" s="22"/>
    </row>
    <row r="29" spans="1:17" x14ac:dyDescent="0.55000000000000004">
      <c r="A29" s="22" t="s">
        <v>121</v>
      </c>
      <c r="B29" s="22"/>
      <c r="C29" s="108">
        <v>1.46</v>
      </c>
      <c r="D29" s="22"/>
      <c r="H29" s="105" t="s">
        <v>107</v>
      </c>
      <c r="I29" s="34">
        <v>20</v>
      </c>
      <c r="J29" s="39">
        <v>1.6</v>
      </c>
      <c r="K29" s="39"/>
      <c r="L29" s="90">
        <v>0.08</v>
      </c>
      <c r="M29" s="39"/>
      <c r="N29" s="40">
        <v>0.1024</v>
      </c>
      <c r="O29" s="22"/>
      <c r="P29" s="22"/>
      <c r="Q29" s="22"/>
    </row>
    <row r="30" spans="1:17" x14ac:dyDescent="0.55000000000000004">
      <c r="H30" s="91" t="s">
        <v>71</v>
      </c>
      <c r="I30" s="34"/>
      <c r="J30" s="92">
        <v>2.35</v>
      </c>
      <c r="K30" s="93"/>
      <c r="L30" s="94">
        <v>0.11749999999999999</v>
      </c>
      <c r="M30" s="93"/>
      <c r="N30" s="95">
        <v>0.15040000000000001</v>
      </c>
      <c r="O30" s="22"/>
      <c r="P30" s="22"/>
      <c r="Q30" s="22"/>
    </row>
    <row r="31" spans="1:17" x14ac:dyDescent="0.55000000000000004">
      <c r="H31" s="34"/>
      <c r="I31" s="34"/>
      <c r="J31" s="39"/>
      <c r="K31" s="38"/>
      <c r="L31" s="89"/>
      <c r="M31" s="38"/>
      <c r="N31" s="40"/>
      <c r="O31" s="22"/>
      <c r="P31" s="22" t="s">
        <v>105</v>
      </c>
      <c r="Q31" s="22"/>
    </row>
    <row r="32" spans="1:17" x14ac:dyDescent="0.55000000000000004">
      <c r="H32" s="96" t="s">
        <v>72</v>
      </c>
      <c r="I32" s="22"/>
      <c r="J32" s="85">
        <v>9.8873366470827015</v>
      </c>
      <c r="K32" s="86"/>
      <c r="L32" s="87">
        <v>0.49436683235413509</v>
      </c>
      <c r="M32" s="86"/>
      <c r="N32" s="88">
        <v>0.63278954541329302</v>
      </c>
      <c r="O32" s="22"/>
      <c r="P32" s="81">
        <v>4.119723602951126E-2</v>
      </c>
      <c r="Q32" s="22"/>
    </row>
    <row r="33" spans="8:17" x14ac:dyDescent="0.55000000000000004">
      <c r="H33" s="96"/>
      <c r="I33" s="22"/>
      <c r="J33" s="97"/>
      <c r="K33" s="98"/>
      <c r="L33" s="99"/>
      <c r="M33" s="98"/>
      <c r="N33" s="100"/>
      <c r="O33" s="22"/>
      <c r="P33" s="81"/>
      <c r="Q33" s="22"/>
    </row>
    <row r="34" spans="8:17" x14ac:dyDescent="0.55000000000000004">
      <c r="H34" s="26" t="s">
        <v>17</v>
      </c>
      <c r="I34" s="118">
        <v>6000000</v>
      </c>
      <c r="K34" s="26" t="s">
        <v>139</v>
      </c>
      <c r="L34" s="118">
        <v>6000000</v>
      </c>
    </row>
    <row r="35" spans="8:17" x14ac:dyDescent="0.55000000000000004">
      <c r="H35" s="26" t="s">
        <v>128</v>
      </c>
      <c r="I35" s="120">
        <f>+'Press 6.5 in'!N32</f>
        <v>0.74123932523635794</v>
      </c>
      <c r="K35" s="26" t="s">
        <v>128</v>
      </c>
      <c r="L35" s="120">
        <f>+'Corn 6 In'!N32</f>
        <v>0.47278821252502395</v>
      </c>
    </row>
    <row r="36" spans="8:17" x14ac:dyDescent="0.55000000000000004">
      <c r="H36" s="26" t="s">
        <v>129</v>
      </c>
      <c r="I36" s="120">
        <f>+N32</f>
        <v>0.63278954541329302</v>
      </c>
      <c r="K36" s="26" t="s">
        <v>129</v>
      </c>
      <c r="L36" s="120">
        <v>0.4103</v>
      </c>
    </row>
    <row r="37" spans="8:17" x14ac:dyDescent="0.55000000000000004">
      <c r="H37" s="26" t="s">
        <v>130</v>
      </c>
      <c r="I37" s="120">
        <f>+I36-I35</f>
        <v>-0.10844977982306492</v>
      </c>
      <c r="K37" s="26" t="s">
        <v>130</v>
      </c>
      <c r="L37" s="120">
        <f>+L36-L35</f>
        <v>-6.2488212525023956E-2</v>
      </c>
    </row>
    <row r="38" spans="8:17" x14ac:dyDescent="0.55000000000000004">
      <c r="H38" s="26" t="s">
        <v>131</v>
      </c>
      <c r="I38" s="119">
        <f>+I37*I34</f>
        <v>-650698.67893838952</v>
      </c>
      <c r="K38" s="26" t="s">
        <v>131</v>
      </c>
      <c r="L38" s="119">
        <f>+L37*L34</f>
        <v>-374929.27515014372</v>
      </c>
    </row>
    <row r="47" spans="8:17" x14ac:dyDescent="0.55000000000000004">
      <c r="H47" s="22"/>
      <c r="I47" s="22"/>
      <c r="J47" s="22"/>
      <c r="K47" s="102"/>
    </row>
    <row r="48" spans="8:17" x14ac:dyDescent="0.55000000000000004">
      <c r="H48" s="22"/>
      <c r="I48" s="22"/>
      <c r="J48" s="22"/>
      <c r="K48" s="22"/>
    </row>
    <row r="49" spans="2:26" x14ac:dyDescent="0.55000000000000004">
      <c r="I49" s="22"/>
      <c r="J49" s="22"/>
      <c r="K49" s="22"/>
    </row>
    <row r="50" spans="2:26" x14ac:dyDescent="0.55000000000000004">
      <c r="H50" s="34"/>
      <c r="I50" s="34"/>
      <c r="J50" s="34"/>
      <c r="K50" s="22"/>
    </row>
    <row r="51" spans="2:26" x14ac:dyDescent="0.55000000000000004">
      <c r="H51" s="34"/>
      <c r="I51" s="34"/>
      <c r="J51" s="34"/>
      <c r="K51" s="22"/>
    </row>
    <row r="52" spans="2:26" x14ac:dyDescent="0.55000000000000004">
      <c r="H52" s="22"/>
      <c r="I52" s="22"/>
      <c r="J52" s="22"/>
      <c r="K52" s="103">
        <v>36</v>
      </c>
    </row>
    <row r="53" spans="2:26" x14ac:dyDescent="0.55000000000000004">
      <c r="H53" s="22"/>
      <c r="I53" s="22"/>
      <c r="J53" s="22"/>
      <c r="K53" s="103">
        <v>24</v>
      </c>
    </row>
    <row r="54" spans="2:26" x14ac:dyDescent="0.55000000000000004">
      <c r="H54" s="34"/>
      <c r="I54" s="34"/>
      <c r="J54" s="22"/>
      <c r="K54" s="103">
        <v>25</v>
      </c>
    </row>
    <row r="55" spans="2:26" x14ac:dyDescent="0.55000000000000004">
      <c r="H55" s="34"/>
      <c r="I55" s="34"/>
      <c r="J55" s="22"/>
      <c r="K55" s="103">
        <v>26</v>
      </c>
    </row>
    <row r="56" spans="2:26" x14ac:dyDescent="0.55000000000000004">
      <c r="I56" s="22"/>
      <c r="J56" s="22"/>
      <c r="K56" s="103">
        <v>27</v>
      </c>
    </row>
    <row r="57" spans="2:26" x14ac:dyDescent="0.55000000000000004">
      <c r="H57" s="22"/>
      <c r="I57" s="22"/>
      <c r="J57" s="22"/>
      <c r="K57" s="103">
        <v>28</v>
      </c>
    </row>
    <row r="58" spans="2:26" x14ac:dyDescent="0.55000000000000004">
      <c r="H58" s="22"/>
      <c r="I58" s="22"/>
      <c r="J58" s="22"/>
      <c r="K58" s="103">
        <v>29</v>
      </c>
    </row>
    <row r="59" spans="2:26" x14ac:dyDescent="0.55000000000000004">
      <c r="I59" s="22"/>
      <c r="J59" s="22"/>
      <c r="K59" s="103">
        <v>30</v>
      </c>
    </row>
    <row r="60" spans="2:26" x14ac:dyDescent="0.55000000000000004">
      <c r="H60" s="22"/>
      <c r="I60" s="22"/>
      <c r="J60" s="22"/>
      <c r="K60" s="103">
        <v>31</v>
      </c>
    </row>
    <row r="61" spans="2:26" x14ac:dyDescent="0.55000000000000004">
      <c r="H61" s="22"/>
      <c r="I61" s="22"/>
      <c r="J61" s="22"/>
      <c r="K61" s="103">
        <v>32</v>
      </c>
    </row>
    <row r="62" spans="2:26" x14ac:dyDescent="0.55000000000000004">
      <c r="H62" s="22"/>
      <c r="I62" s="22"/>
      <c r="J62" s="22"/>
      <c r="K62" s="103">
        <v>33</v>
      </c>
    </row>
    <row r="63" spans="2:26" x14ac:dyDescent="0.55000000000000004">
      <c r="B63" s="22"/>
      <c r="C63" s="22"/>
      <c r="D63" s="52"/>
      <c r="E63" s="22"/>
      <c r="F63" s="52"/>
      <c r="G63" s="22"/>
      <c r="H63" s="22"/>
      <c r="I63" s="22"/>
      <c r="J63" s="22"/>
      <c r="K63" s="103">
        <v>34</v>
      </c>
    </row>
    <row r="64" spans="2:26" x14ac:dyDescent="0.55000000000000004">
      <c r="B64" s="22"/>
      <c r="C64" s="22"/>
      <c r="D64" s="22"/>
      <c r="E64" s="22"/>
      <c r="F64" s="52"/>
      <c r="G64" s="22"/>
      <c r="H64" s="22"/>
      <c r="I64" s="22"/>
      <c r="J64" s="22"/>
      <c r="K64" s="103">
        <v>35</v>
      </c>
      <c r="W64" s="22"/>
      <c r="X64" s="22"/>
      <c r="Y64" s="22"/>
      <c r="Z64" s="22"/>
    </row>
    <row r="65" spans="2:26" x14ac:dyDescent="0.55000000000000004">
      <c r="B65" s="22"/>
      <c r="C65" s="22"/>
      <c r="D65" s="22"/>
      <c r="E65" s="22"/>
      <c r="F65" s="52"/>
      <c r="G65" s="22"/>
      <c r="H65" s="22"/>
      <c r="I65" s="22"/>
      <c r="J65" s="22"/>
      <c r="W65" s="22"/>
      <c r="X65" s="22"/>
      <c r="Y65" s="22"/>
      <c r="Z65" s="10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65"/>
  <sheetViews>
    <sheetView workbookViewId="0">
      <selection activeCell="J41" sqref="J41"/>
    </sheetView>
  </sheetViews>
  <sheetFormatPr defaultColWidth="9.1328125" defaultRowHeight="20.65" x14ac:dyDescent="0.55000000000000004"/>
  <cols>
    <col min="1" max="1" width="9.1328125" style="26"/>
    <col min="2" max="2" width="21.73046875" style="26" customWidth="1"/>
    <col min="3" max="3" width="18.1328125" style="26" customWidth="1"/>
    <col min="4" max="4" width="14.86328125" style="26" bestFit="1" customWidth="1"/>
    <col min="5" max="5" width="9.3984375" style="26" bestFit="1" customWidth="1"/>
    <col min="6" max="6" width="10" style="26" bestFit="1" customWidth="1"/>
    <col min="7" max="7" width="9.1328125" style="26"/>
    <col min="8" max="9" width="18.59765625" style="26" customWidth="1"/>
    <col min="10" max="10" width="11.1328125" style="26" bestFit="1" customWidth="1"/>
    <col min="11" max="11" width="9.265625" style="26" bestFit="1" customWidth="1"/>
    <col min="12" max="12" width="11.73046875" style="26" customWidth="1"/>
    <col min="13" max="13" width="6.265625" style="26" customWidth="1"/>
    <col min="14" max="14" width="11.3984375" style="26" customWidth="1"/>
    <col min="15" max="15" width="18.73046875" style="26" customWidth="1"/>
    <col min="16" max="16" width="13.3984375" style="26" customWidth="1"/>
    <col min="17" max="17" width="9.265625" style="26" bestFit="1" customWidth="1"/>
    <col min="18" max="16384" width="9.1328125" style="26"/>
  </cols>
  <sheetData>
    <row r="1" spans="1:17" x14ac:dyDescent="0.55000000000000004">
      <c r="B1" s="21" t="s">
        <v>50</v>
      </c>
      <c r="C1" s="83" t="s">
        <v>137</v>
      </c>
      <c r="D1" s="22"/>
      <c r="E1" s="22" t="s">
        <v>138</v>
      </c>
      <c r="F1" s="23"/>
      <c r="G1" s="24"/>
      <c r="H1" s="24"/>
      <c r="I1" s="24"/>
      <c r="J1" s="25"/>
      <c r="K1" s="22"/>
    </row>
    <row r="2" spans="1:17" x14ac:dyDescent="0.55000000000000004">
      <c r="B2" s="21" t="s">
        <v>51</v>
      </c>
      <c r="C2" s="27">
        <f>+C4*C5*C3/453.6</f>
        <v>12.002910052910053</v>
      </c>
      <c r="D2" s="22"/>
      <c r="E2" s="22"/>
      <c r="F2" s="28"/>
      <c r="G2" s="28"/>
      <c r="H2" s="29" t="s">
        <v>54</v>
      </c>
      <c r="I2" s="29"/>
      <c r="J2" s="30" t="s">
        <v>55</v>
      </c>
      <c r="K2" s="30" t="s">
        <v>56</v>
      </c>
      <c r="L2" s="30" t="s">
        <v>57</v>
      </c>
      <c r="M2" s="30"/>
      <c r="N2" s="31" t="s">
        <v>58</v>
      </c>
      <c r="O2" s="32" t="s">
        <v>114</v>
      </c>
      <c r="P2" s="21"/>
      <c r="Q2" s="21"/>
    </row>
    <row r="3" spans="1:17" x14ac:dyDescent="0.55000000000000004">
      <c r="B3" s="21" t="s">
        <v>142</v>
      </c>
      <c r="C3" s="106">
        <v>3.54</v>
      </c>
      <c r="D3" s="22" t="s">
        <v>143</v>
      </c>
      <c r="E3" s="22"/>
      <c r="F3" s="25"/>
      <c r="G3" s="25"/>
      <c r="H3" s="34" t="s">
        <v>118</v>
      </c>
      <c r="I3" s="34"/>
      <c r="J3" s="35">
        <v>500</v>
      </c>
      <c r="K3" s="36">
        <f>+J3/J3</f>
        <v>1</v>
      </c>
      <c r="L3" s="37">
        <v>0.3</v>
      </c>
      <c r="M3" s="38"/>
      <c r="N3" s="39">
        <f t="shared" ref="N3:N15" si="0">+L3*J3</f>
        <v>150</v>
      </c>
      <c r="O3" s="40">
        <f t="shared" ref="O3:O15" si="1">N3/$C$27</f>
        <v>0.23529411764705879</v>
      </c>
      <c r="P3" s="41"/>
      <c r="Q3" s="34"/>
    </row>
    <row r="4" spans="1:17" x14ac:dyDescent="0.55000000000000004">
      <c r="B4" s="21" t="s">
        <v>53</v>
      </c>
      <c r="C4" s="83">
        <v>1</v>
      </c>
      <c r="D4" s="21"/>
      <c r="E4" s="22"/>
      <c r="F4" s="22"/>
      <c r="G4" s="22"/>
      <c r="H4" s="34"/>
      <c r="I4" s="34"/>
      <c r="J4" s="35"/>
      <c r="K4" s="36"/>
      <c r="L4" s="37"/>
      <c r="M4" s="38"/>
      <c r="N4" s="39">
        <f>+L4*J4</f>
        <v>0</v>
      </c>
      <c r="O4" s="40">
        <f t="shared" si="1"/>
        <v>0</v>
      </c>
      <c r="P4" s="34"/>
      <c r="Q4" s="34"/>
    </row>
    <row r="5" spans="1:17" x14ac:dyDescent="0.55000000000000004">
      <c r="B5" s="21" t="s">
        <v>141</v>
      </c>
      <c r="C5" s="130">
        <v>1538</v>
      </c>
      <c r="D5" s="22"/>
      <c r="E5" s="22"/>
      <c r="F5" s="22"/>
      <c r="G5" s="22"/>
      <c r="H5" s="34"/>
      <c r="I5" s="34"/>
      <c r="J5" s="35"/>
      <c r="K5" s="36"/>
      <c r="L5" s="37"/>
      <c r="M5" s="38"/>
      <c r="N5" s="39">
        <f t="shared" si="0"/>
        <v>0</v>
      </c>
      <c r="O5" s="40">
        <f t="shared" si="1"/>
        <v>0</v>
      </c>
      <c r="P5" s="44"/>
      <c r="Q5" s="45"/>
    </row>
    <row r="6" spans="1:17" x14ac:dyDescent="0.55000000000000004">
      <c r="H6" s="34" t="s">
        <v>87</v>
      </c>
      <c r="I6" s="34"/>
      <c r="J6" s="35">
        <v>200</v>
      </c>
      <c r="K6" s="36">
        <f>+J6/J$3</f>
        <v>0.4</v>
      </c>
      <c r="L6" s="37">
        <v>0</v>
      </c>
      <c r="M6" s="38"/>
      <c r="N6" s="39">
        <f t="shared" si="0"/>
        <v>0</v>
      </c>
      <c r="O6" s="40">
        <f t="shared" si="1"/>
        <v>0</v>
      </c>
      <c r="P6" s="41"/>
      <c r="Q6" s="34"/>
    </row>
    <row r="7" spans="1:17" x14ac:dyDescent="0.55000000000000004">
      <c r="A7" s="22" t="s">
        <v>8</v>
      </c>
      <c r="B7" s="22"/>
      <c r="C7" s="33">
        <f>+'Base '!D18</f>
        <v>1500000</v>
      </c>
      <c r="D7" s="22"/>
      <c r="E7" s="22"/>
      <c r="F7" s="22"/>
      <c r="H7" s="46"/>
      <c r="I7" s="34"/>
      <c r="J7" s="35">
        <v>0</v>
      </c>
      <c r="K7" s="36">
        <f>+J7/J$3</f>
        <v>0</v>
      </c>
      <c r="L7" s="37">
        <v>0.55000000000000004</v>
      </c>
      <c r="M7" s="38"/>
      <c r="N7" s="39">
        <f t="shared" si="0"/>
        <v>0</v>
      </c>
      <c r="O7" s="40">
        <f t="shared" si="1"/>
        <v>0</v>
      </c>
      <c r="P7" s="34"/>
      <c r="Q7" s="34"/>
    </row>
    <row r="8" spans="1:17" x14ac:dyDescent="0.55000000000000004">
      <c r="A8" s="22" t="s">
        <v>73</v>
      </c>
      <c r="B8" s="22"/>
      <c r="C8" s="42">
        <v>52</v>
      </c>
      <c r="D8" s="22"/>
      <c r="E8" s="22"/>
      <c r="F8" s="22"/>
      <c r="H8" s="34" t="s">
        <v>89</v>
      </c>
      <c r="I8" s="34"/>
      <c r="J8" s="35">
        <v>5</v>
      </c>
      <c r="K8" s="36">
        <f>+J8/J$3</f>
        <v>0.01</v>
      </c>
      <c r="L8" s="37">
        <v>2</v>
      </c>
      <c r="M8" s="38"/>
      <c r="N8" s="39">
        <f t="shared" si="0"/>
        <v>10</v>
      </c>
      <c r="O8" s="40">
        <f t="shared" si="1"/>
        <v>1.5686274509803918E-2</v>
      </c>
      <c r="P8" s="34"/>
      <c r="Q8" s="34"/>
    </row>
    <row r="9" spans="1:17" x14ac:dyDescent="0.55000000000000004">
      <c r="A9" s="22" t="s">
        <v>74</v>
      </c>
      <c r="B9" s="22"/>
      <c r="C9" s="43">
        <f>C7/C8</f>
        <v>28846.153846153848</v>
      </c>
      <c r="D9" s="22"/>
      <c r="E9" s="34"/>
      <c r="F9" s="22"/>
      <c r="H9" s="34"/>
      <c r="I9" s="34"/>
      <c r="J9" s="35">
        <v>0</v>
      </c>
      <c r="K9" s="36">
        <f>+J9/J$3</f>
        <v>0</v>
      </c>
      <c r="L9" s="37">
        <v>1</v>
      </c>
      <c r="M9" s="38"/>
      <c r="N9" s="39">
        <f t="shared" si="0"/>
        <v>0</v>
      </c>
      <c r="O9" s="40">
        <f t="shared" si="1"/>
        <v>0</v>
      </c>
      <c r="P9" s="34"/>
      <c r="Q9" s="49"/>
    </row>
    <row r="10" spans="1:17" x14ac:dyDescent="0.55000000000000004">
      <c r="A10" s="22" t="s">
        <v>75</v>
      </c>
      <c r="B10" s="22"/>
      <c r="C10" s="43">
        <f>C7/C16</f>
        <v>988.70056497175142</v>
      </c>
      <c r="D10" s="22"/>
      <c r="E10" s="22"/>
      <c r="F10" s="22"/>
      <c r="H10" s="34" t="s">
        <v>90</v>
      </c>
      <c r="I10" s="34"/>
      <c r="J10" s="35"/>
      <c r="K10" s="36">
        <f>+J10/J$3</f>
        <v>0</v>
      </c>
      <c r="L10" s="37"/>
      <c r="M10" s="38"/>
      <c r="N10" s="39">
        <f t="shared" si="0"/>
        <v>0</v>
      </c>
      <c r="O10" s="40">
        <f t="shared" si="1"/>
        <v>0</v>
      </c>
      <c r="P10" s="34"/>
      <c r="Q10" s="49"/>
    </row>
    <row r="11" spans="1:17" x14ac:dyDescent="0.55000000000000004">
      <c r="A11" s="22" t="s">
        <v>76</v>
      </c>
      <c r="B11" s="22"/>
      <c r="C11" s="43">
        <f>+C7/C17</f>
        <v>889.83050847457639</v>
      </c>
      <c r="D11" s="22"/>
      <c r="E11" s="22"/>
      <c r="F11" s="22"/>
      <c r="H11" s="46"/>
      <c r="I11" s="34"/>
      <c r="J11" s="35"/>
      <c r="K11" s="36"/>
      <c r="L11" s="37"/>
      <c r="M11" s="38"/>
      <c r="N11" s="39">
        <f t="shared" si="0"/>
        <v>0</v>
      </c>
      <c r="O11" s="40">
        <f t="shared" si="1"/>
        <v>0</v>
      </c>
      <c r="P11" s="34"/>
      <c r="Q11" s="49"/>
    </row>
    <row r="12" spans="1:17" x14ac:dyDescent="0.55000000000000004">
      <c r="A12" s="34" t="s">
        <v>100</v>
      </c>
      <c r="B12" s="34"/>
      <c r="C12" s="45">
        <f>+C11/C8</f>
        <v>17.112125162972625</v>
      </c>
      <c r="D12" s="34"/>
      <c r="E12" s="34"/>
      <c r="F12" s="34"/>
      <c r="H12" s="46"/>
      <c r="I12" s="34"/>
      <c r="J12" s="35"/>
      <c r="K12" s="36"/>
      <c r="L12" s="37"/>
      <c r="M12" s="38"/>
      <c r="N12" s="39">
        <f t="shared" si="0"/>
        <v>0</v>
      </c>
      <c r="O12" s="40">
        <f t="shared" si="1"/>
        <v>0</v>
      </c>
      <c r="P12" s="34"/>
      <c r="Q12" s="49"/>
    </row>
    <row r="13" spans="1:17" ht="25.15" x14ac:dyDescent="0.65">
      <c r="A13" s="126" t="s">
        <v>117</v>
      </c>
      <c r="B13" s="111"/>
      <c r="C13" s="125">
        <f>16*5</f>
        <v>80</v>
      </c>
      <c r="D13" s="34"/>
      <c r="E13" s="34"/>
      <c r="F13" s="34"/>
      <c r="H13" s="34"/>
      <c r="I13" s="34"/>
      <c r="J13" s="35"/>
      <c r="K13" s="36"/>
      <c r="L13" s="37"/>
      <c r="M13" s="38"/>
      <c r="N13" s="39">
        <f>+L13*I13</f>
        <v>0</v>
      </c>
      <c r="O13" s="40">
        <f t="shared" si="1"/>
        <v>0</v>
      </c>
      <c r="P13" s="34"/>
      <c r="Q13" s="49"/>
    </row>
    <row r="14" spans="1:17" ht="25.15" x14ac:dyDescent="0.65">
      <c r="A14" s="126" t="s">
        <v>102</v>
      </c>
      <c r="B14" s="123"/>
      <c r="C14" s="127">
        <v>45</v>
      </c>
      <c r="D14" s="22"/>
      <c r="E14" s="22"/>
      <c r="F14" s="22"/>
      <c r="H14" s="34"/>
      <c r="I14" s="34"/>
      <c r="J14" s="35"/>
      <c r="K14" s="36"/>
      <c r="L14" s="37"/>
      <c r="M14" s="38"/>
      <c r="N14" s="39">
        <f t="shared" si="0"/>
        <v>0</v>
      </c>
      <c r="O14" s="40">
        <f t="shared" si="1"/>
        <v>0</v>
      </c>
      <c r="P14" s="34"/>
      <c r="Q14" s="49"/>
    </row>
    <row r="15" spans="1:17" ht="25.15" x14ac:dyDescent="0.65">
      <c r="A15" s="123" t="s">
        <v>140</v>
      </c>
      <c r="B15" s="123"/>
      <c r="C15" s="131">
        <f>+C13*C14</f>
        <v>3600</v>
      </c>
      <c r="D15" s="22"/>
      <c r="E15" s="22" t="s">
        <v>77</v>
      </c>
      <c r="F15" s="22"/>
      <c r="H15" s="34"/>
      <c r="I15" s="34"/>
      <c r="J15" s="53"/>
      <c r="K15" s="54"/>
      <c r="L15" s="55"/>
      <c r="M15" s="56"/>
      <c r="N15" s="57">
        <f t="shared" si="0"/>
        <v>0</v>
      </c>
      <c r="O15" s="40">
        <f t="shared" si="1"/>
        <v>0</v>
      </c>
      <c r="P15" s="34"/>
      <c r="Q15" s="49"/>
    </row>
    <row r="16" spans="1:17" ht="25.15" x14ac:dyDescent="0.65">
      <c r="A16" s="123" t="s">
        <v>78</v>
      </c>
      <c r="B16" s="123"/>
      <c r="C16" s="132">
        <f>+C17*C18</f>
        <v>1517.1428571428571</v>
      </c>
      <c r="D16" s="34"/>
      <c r="E16" s="51"/>
      <c r="F16" s="34"/>
      <c r="H16" s="34"/>
      <c r="I16" s="34"/>
      <c r="J16" s="58"/>
      <c r="K16" s="36"/>
      <c r="L16" s="37"/>
      <c r="M16" s="38"/>
      <c r="N16" s="39"/>
      <c r="O16" s="40"/>
      <c r="P16" s="34"/>
      <c r="Q16" s="49"/>
    </row>
    <row r="17" spans="1:17" ht="27" thickBot="1" x14ac:dyDescent="0.9">
      <c r="A17" s="123" t="s">
        <v>79</v>
      </c>
      <c r="B17" s="123"/>
      <c r="C17" s="132">
        <f>+(C15*C3*60)/453.6</f>
        <v>1685.7142857142856</v>
      </c>
      <c r="D17" s="22"/>
      <c r="E17" s="52">
        <f>+C17/C2/60</f>
        <v>2.3407022106631983</v>
      </c>
      <c r="F17" s="22"/>
      <c r="H17" s="22" t="s">
        <v>60</v>
      </c>
      <c r="I17" s="22"/>
      <c r="J17" s="60">
        <f>SUM(J3:J16)</f>
        <v>705</v>
      </c>
      <c r="K17" s="36"/>
      <c r="L17" s="61"/>
      <c r="M17" s="61"/>
      <c r="N17" s="62">
        <f>SUM(N3:N15)</f>
        <v>160</v>
      </c>
      <c r="O17" s="40">
        <f>N17/$C$27</f>
        <v>0.25098039215686269</v>
      </c>
      <c r="P17" s="22"/>
      <c r="Q17" s="63"/>
    </row>
    <row r="18" spans="1:17" ht="23.25" thickTop="1" x14ac:dyDescent="0.85">
      <c r="A18" s="22" t="s">
        <v>80</v>
      </c>
      <c r="B18" s="22"/>
      <c r="C18" s="46">
        <v>0.9</v>
      </c>
      <c r="D18" s="22"/>
      <c r="E18" s="52"/>
      <c r="F18" s="22" t="s">
        <v>59</v>
      </c>
      <c r="H18" s="22"/>
      <c r="I18" s="22"/>
      <c r="J18" s="63"/>
      <c r="K18" s="65"/>
      <c r="L18" s="61"/>
      <c r="M18" s="61"/>
      <c r="N18" s="66"/>
      <c r="O18" s="67"/>
      <c r="P18" s="22"/>
      <c r="Q18" s="63"/>
    </row>
    <row r="19" spans="1:17" ht="21" thickBot="1" x14ac:dyDescent="0.6">
      <c r="A19" s="22" t="s">
        <v>81</v>
      </c>
      <c r="B19" s="22"/>
      <c r="C19" s="45">
        <f>C17/C20</f>
        <v>337.14285714285711</v>
      </c>
      <c r="D19" s="22"/>
      <c r="E19" s="52"/>
      <c r="F19" s="22"/>
      <c r="H19" s="22"/>
      <c r="I19" s="22"/>
      <c r="J19" s="71" t="s">
        <v>62</v>
      </c>
      <c r="K19" s="71"/>
      <c r="L19" s="71" t="s">
        <v>63</v>
      </c>
      <c r="M19" s="71"/>
      <c r="N19" s="72" t="s">
        <v>64</v>
      </c>
      <c r="O19" s="22"/>
      <c r="P19" s="22"/>
      <c r="Q19" s="73"/>
    </row>
    <row r="20" spans="1:17" ht="25.15" x14ac:dyDescent="0.65">
      <c r="A20" s="123" t="s">
        <v>82</v>
      </c>
      <c r="B20" s="123"/>
      <c r="C20" s="125">
        <v>5</v>
      </c>
      <c r="D20" s="22"/>
      <c r="E20" s="52"/>
      <c r="F20" s="22"/>
      <c r="H20" s="22" t="s">
        <v>54</v>
      </c>
      <c r="I20" s="22"/>
      <c r="J20" s="74">
        <f>N20*$C$2</f>
        <v>3.0124950721029147</v>
      </c>
      <c r="K20" s="74"/>
      <c r="L20" s="75">
        <f>J20/$C$4</f>
        <v>3.0124950721029147</v>
      </c>
      <c r="M20" s="74"/>
      <c r="N20" s="76">
        <f>+N17/C27</f>
        <v>0.25098039215686269</v>
      </c>
      <c r="O20" s="22"/>
      <c r="P20" s="22"/>
      <c r="Q20" s="73"/>
    </row>
    <row r="21" spans="1:17" x14ac:dyDescent="0.55000000000000004">
      <c r="A21" s="22" t="s">
        <v>83</v>
      </c>
      <c r="B21" s="22"/>
      <c r="C21" s="59">
        <v>12</v>
      </c>
      <c r="D21" s="22"/>
      <c r="F21" s="22"/>
      <c r="H21" s="22"/>
      <c r="I21" s="22"/>
      <c r="J21" s="77"/>
      <c r="K21" s="77"/>
      <c r="L21" s="78"/>
      <c r="M21" s="77"/>
      <c r="N21" s="79"/>
      <c r="O21" s="22"/>
      <c r="P21" s="22"/>
      <c r="Q21" s="73"/>
    </row>
    <row r="22" spans="1:17" x14ac:dyDescent="0.55000000000000004">
      <c r="A22" s="22" t="s">
        <v>84</v>
      </c>
      <c r="B22" s="22"/>
      <c r="C22" s="64">
        <f>+C17/C2*C4/60</f>
        <v>2.3407022106631983</v>
      </c>
      <c r="D22" s="22"/>
      <c r="E22" s="52"/>
      <c r="F22" s="22"/>
      <c r="H22" s="22" t="s">
        <v>65</v>
      </c>
      <c r="I22" s="22"/>
      <c r="J22" s="66">
        <f>+N22*C$2</f>
        <v>0.42722222222222223</v>
      </c>
      <c r="K22" s="61"/>
      <c r="L22" s="80">
        <f>+J22/C$4</f>
        <v>0.42722222222222223</v>
      </c>
      <c r="M22" s="61"/>
      <c r="N22" s="81">
        <f>C21/C19</f>
        <v>3.5593220338983052E-2</v>
      </c>
      <c r="O22" s="22"/>
      <c r="P22" s="30" t="s">
        <v>119</v>
      </c>
      <c r="Q22" s="30"/>
    </row>
    <row r="23" spans="1:17" x14ac:dyDescent="0.55000000000000004">
      <c r="A23" s="22" t="s">
        <v>104</v>
      </c>
      <c r="B23" s="22"/>
      <c r="C23" s="68">
        <f>C7/52</f>
        <v>28846.153846153848</v>
      </c>
      <c r="D23" s="22"/>
      <c r="E23" s="52"/>
      <c r="F23" s="22"/>
      <c r="H23" s="22" t="s">
        <v>48</v>
      </c>
      <c r="I23" s="22"/>
      <c r="J23" s="66">
        <f>+N23*C$2</f>
        <v>0.47628722924187733</v>
      </c>
      <c r="K23" s="61"/>
      <c r="L23" s="80">
        <f>+J23/C$4</f>
        <v>0.47628722924187733</v>
      </c>
      <c r="M23" s="61"/>
      <c r="N23" s="81">
        <f>+P23/C$17</f>
        <v>3.9680979624303989E-2</v>
      </c>
      <c r="O23" s="22"/>
      <c r="P23" s="82">
        <f>+'Indirect Labor'!I9</f>
        <v>66.890794223826717</v>
      </c>
      <c r="Q23" s="22" t="s">
        <v>126</v>
      </c>
    </row>
    <row r="24" spans="1:17" x14ac:dyDescent="0.55000000000000004">
      <c r="H24" s="22" t="s">
        <v>66</v>
      </c>
      <c r="I24" s="22"/>
      <c r="J24" s="66">
        <f>+N24*C$2</f>
        <v>0.4528632671480145</v>
      </c>
      <c r="K24" s="61"/>
      <c r="L24" s="80">
        <f>+J24/C$4</f>
        <v>0.4528632671480145</v>
      </c>
      <c r="M24" s="61"/>
      <c r="N24" s="81">
        <f>+P24/C$17</f>
        <v>3.7729456036223463E-2</v>
      </c>
      <c r="O24" s="83"/>
      <c r="P24" s="82">
        <f>+'Variable Cost'!I11</f>
        <v>63.601083032490969</v>
      </c>
      <c r="Q24" s="22" t="s">
        <v>124</v>
      </c>
    </row>
    <row r="25" spans="1:17" x14ac:dyDescent="0.55000000000000004">
      <c r="H25" s="22" t="s">
        <v>67</v>
      </c>
      <c r="I25" s="22"/>
      <c r="J25" s="66">
        <f>+N25*C$2</f>
        <v>1.0254304167741104</v>
      </c>
      <c r="K25" s="61"/>
      <c r="L25" s="80">
        <f>+J25/C$4</f>
        <v>1.0254304167741104</v>
      </c>
      <c r="M25" s="61"/>
      <c r="N25" s="81">
        <f>+P25/C$17</f>
        <v>8.54318171388362E-2</v>
      </c>
      <c r="O25" s="22"/>
      <c r="P25" s="82">
        <f>+'Fixed Cost'!O20</f>
        <v>144.01363460546673</v>
      </c>
      <c r="Q25" s="22" t="s">
        <v>125</v>
      </c>
    </row>
    <row r="26" spans="1:17" ht="25.15" x14ac:dyDescent="0.65">
      <c r="A26" s="123" t="s">
        <v>61</v>
      </c>
      <c r="B26" s="123"/>
      <c r="C26" s="129">
        <v>2.5000000000000001E-2</v>
      </c>
      <c r="D26" s="65"/>
      <c r="H26" s="84" t="s">
        <v>68</v>
      </c>
      <c r="I26" s="22"/>
      <c r="J26" s="85">
        <f>SUM(J22:J25)</f>
        <v>2.3818031353862246</v>
      </c>
      <c r="K26" s="86"/>
      <c r="L26" s="87">
        <f>SUM(L22:L25)</f>
        <v>2.3818031353862246</v>
      </c>
      <c r="M26" s="86"/>
      <c r="N26" s="88">
        <f>SUM(N22:N25)</f>
        <v>0.1984354731383467</v>
      </c>
      <c r="O26" s="22"/>
      <c r="P26" s="22"/>
      <c r="Q26" s="22"/>
    </row>
    <row r="27" spans="1:17" x14ac:dyDescent="0.55000000000000004">
      <c r="A27" s="22" t="s">
        <v>120</v>
      </c>
      <c r="B27" s="22"/>
      <c r="C27" s="63">
        <f>+C29*(J3)</f>
        <v>637.50000000000011</v>
      </c>
      <c r="D27" s="63"/>
      <c r="H27" s="22" t="s">
        <v>69</v>
      </c>
      <c r="I27" s="104" t="s">
        <v>70</v>
      </c>
      <c r="J27" s="66"/>
      <c r="K27" s="61"/>
      <c r="L27" s="80"/>
      <c r="M27" s="61"/>
      <c r="N27" s="81"/>
      <c r="O27" s="22"/>
      <c r="P27" s="22"/>
      <c r="Q27" s="22"/>
    </row>
    <row r="28" spans="1:17" x14ac:dyDescent="0.55000000000000004">
      <c r="A28" s="22" t="s">
        <v>92</v>
      </c>
      <c r="B28" s="22"/>
      <c r="C28" s="70">
        <v>1.3</v>
      </c>
      <c r="D28" s="63"/>
      <c r="H28" s="105" t="s">
        <v>106</v>
      </c>
      <c r="I28" s="34">
        <v>1</v>
      </c>
      <c r="J28" s="59">
        <v>0.5</v>
      </c>
      <c r="K28" s="39"/>
      <c r="L28" s="89">
        <f>+J28/C4</f>
        <v>0.5</v>
      </c>
      <c r="M28" s="39"/>
      <c r="N28" s="40">
        <f>+J28/C2</f>
        <v>4.1656564766039982E-2</v>
      </c>
      <c r="O28" s="22"/>
      <c r="P28" s="22"/>
      <c r="Q28" s="22"/>
    </row>
    <row r="29" spans="1:17" x14ac:dyDescent="0.55000000000000004">
      <c r="A29" s="22" t="s">
        <v>121</v>
      </c>
      <c r="B29" s="22"/>
      <c r="C29" s="108">
        <f>+C28-C26</f>
        <v>1.2750000000000001</v>
      </c>
      <c r="D29" s="22"/>
      <c r="H29" s="105" t="s">
        <v>107</v>
      </c>
      <c r="I29" s="34">
        <f>+C4</f>
        <v>1</v>
      </c>
      <c r="J29" s="39">
        <f>L29*C4</f>
        <v>0.09</v>
      </c>
      <c r="K29" s="39"/>
      <c r="L29" s="90">
        <v>0.09</v>
      </c>
      <c r="M29" s="39"/>
      <c r="N29" s="40">
        <f>+(L29*C4)/C2</f>
        <v>7.4981816578871966E-3</v>
      </c>
      <c r="O29" s="22"/>
      <c r="P29" s="22"/>
      <c r="Q29" s="22"/>
    </row>
    <row r="30" spans="1:17" x14ac:dyDescent="0.55000000000000004">
      <c r="H30" s="91" t="s">
        <v>71</v>
      </c>
      <c r="I30" s="34"/>
      <c r="J30" s="92">
        <f>SUM(J28:J29)</f>
        <v>0.59</v>
      </c>
      <c r="K30" s="93"/>
      <c r="L30" s="94">
        <f>SUM(L28:L29)</f>
        <v>0.59</v>
      </c>
      <c r="M30" s="93"/>
      <c r="N30" s="95">
        <f>SUM(N28:N29)</f>
        <v>4.9154746423927177E-2</v>
      </c>
      <c r="O30" s="22"/>
      <c r="P30" s="22"/>
      <c r="Q30" s="22"/>
    </row>
    <row r="31" spans="1:17" x14ac:dyDescent="0.55000000000000004">
      <c r="H31" s="34"/>
      <c r="I31" s="34"/>
      <c r="J31" s="39"/>
      <c r="K31" s="38"/>
      <c r="L31" s="89"/>
      <c r="M31" s="38"/>
      <c r="N31" s="40"/>
      <c r="O31" s="22"/>
      <c r="P31" s="22"/>
      <c r="Q31" s="22"/>
    </row>
    <row r="32" spans="1:17" x14ac:dyDescent="0.55000000000000004">
      <c r="H32" s="96" t="s">
        <v>72</v>
      </c>
      <c r="I32" s="22"/>
      <c r="J32" s="85">
        <f>J20+J26+J30</f>
        <v>5.9842982074891395</v>
      </c>
      <c r="K32" s="86"/>
      <c r="L32" s="87">
        <f>L20+L26+L30</f>
        <v>5.9842982074891395</v>
      </c>
      <c r="M32" s="86"/>
      <c r="N32" s="88">
        <f>N20+N26+N30</f>
        <v>0.49857061171913658</v>
      </c>
      <c r="O32" s="22"/>
      <c r="P32" s="81"/>
      <c r="Q32" s="22"/>
    </row>
    <row r="33" spans="8:17" x14ac:dyDescent="0.55000000000000004">
      <c r="H33" s="96"/>
      <c r="I33" s="22"/>
      <c r="J33" s="97"/>
      <c r="K33" s="98"/>
      <c r="L33" s="99"/>
      <c r="M33" s="98"/>
      <c r="N33" s="100"/>
      <c r="O33" s="22"/>
      <c r="P33" s="22" t="s">
        <v>123</v>
      </c>
      <c r="Q33" s="22"/>
    </row>
    <row r="34" spans="8:17" x14ac:dyDescent="0.55000000000000004">
      <c r="H34" s="26" t="s">
        <v>144</v>
      </c>
      <c r="I34" s="118">
        <f>+C7</f>
        <v>1500000</v>
      </c>
      <c r="P34" s="81">
        <f>+L32/C5</f>
        <v>3.8909611232049021E-3</v>
      </c>
    </row>
    <row r="35" spans="8:17" x14ac:dyDescent="0.55000000000000004">
      <c r="H35" s="26" t="s">
        <v>128</v>
      </c>
      <c r="I35" s="120">
        <f>+'HC Chips'!N32</f>
        <v>0.69359803640670059</v>
      </c>
    </row>
    <row r="36" spans="8:17" x14ac:dyDescent="0.55000000000000004">
      <c r="H36" s="26" t="s">
        <v>129</v>
      </c>
      <c r="I36" s="120">
        <f>+N32</f>
        <v>0.49857061171913658</v>
      </c>
    </row>
    <row r="37" spans="8:17" x14ac:dyDescent="0.55000000000000004">
      <c r="H37" s="26" t="s">
        <v>130</v>
      </c>
      <c r="I37" s="120">
        <f>+I36-I35</f>
        <v>-0.19502742468756401</v>
      </c>
    </row>
    <row r="38" spans="8:17" x14ac:dyDescent="0.55000000000000004">
      <c r="H38" s="26" t="s">
        <v>131</v>
      </c>
      <c r="I38" s="119">
        <f>+I37*I34</f>
        <v>-292541.13703134604</v>
      </c>
    </row>
    <row r="47" spans="8:17" x14ac:dyDescent="0.55000000000000004">
      <c r="H47" s="22"/>
      <c r="I47" s="22"/>
      <c r="J47" s="22"/>
      <c r="K47" s="102"/>
    </row>
    <row r="48" spans="8:17" x14ac:dyDescent="0.55000000000000004">
      <c r="H48" s="22"/>
      <c r="I48" s="22"/>
      <c r="J48" s="22"/>
      <c r="K48" s="22"/>
    </row>
    <row r="49" spans="2:26" x14ac:dyDescent="0.55000000000000004">
      <c r="I49" s="22"/>
      <c r="J49" s="22"/>
      <c r="K49" s="22"/>
    </row>
    <row r="50" spans="2:26" x14ac:dyDescent="0.55000000000000004">
      <c r="H50" s="34"/>
      <c r="I50" s="34"/>
      <c r="J50" s="34"/>
      <c r="K50" s="22"/>
    </row>
    <row r="51" spans="2:26" x14ac:dyDescent="0.55000000000000004">
      <c r="H51" s="34"/>
      <c r="I51" s="34"/>
      <c r="J51" s="34"/>
      <c r="K51" s="22"/>
    </row>
    <row r="52" spans="2:26" x14ac:dyDescent="0.55000000000000004">
      <c r="H52" s="22"/>
      <c r="I52" s="22"/>
      <c r="J52" s="22"/>
      <c r="K52" s="103">
        <v>36</v>
      </c>
    </row>
    <row r="53" spans="2:26" x14ac:dyDescent="0.55000000000000004">
      <c r="H53" s="22"/>
      <c r="I53" s="22"/>
      <c r="J53" s="22"/>
      <c r="K53" s="103">
        <v>24</v>
      </c>
    </row>
    <row r="54" spans="2:26" x14ac:dyDescent="0.55000000000000004">
      <c r="H54" s="34"/>
      <c r="I54" s="34"/>
      <c r="J54" s="22"/>
      <c r="K54" s="103">
        <v>25</v>
      </c>
    </row>
    <row r="55" spans="2:26" x14ac:dyDescent="0.55000000000000004">
      <c r="H55" s="34"/>
      <c r="I55" s="34"/>
      <c r="J55" s="22"/>
      <c r="K55" s="103">
        <v>26</v>
      </c>
    </row>
    <row r="56" spans="2:26" x14ac:dyDescent="0.55000000000000004">
      <c r="I56" s="22"/>
      <c r="J56" s="22"/>
      <c r="K56" s="103">
        <v>27</v>
      </c>
    </row>
    <row r="57" spans="2:26" x14ac:dyDescent="0.55000000000000004">
      <c r="H57" s="22"/>
      <c r="I57" s="22"/>
      <c r="J57" s="22"/>
      <c r="K57" s="103">
        <v>28</v>
      </c>
    </row>
    <row r="58" spans="2:26" x14ac:dyDescent="0.55000000000000004">
      <c r="H58" s="22"/>
      <c r="I58" s="22"/>
      <c r="J58" s="22"/>
      <c r="K58" s="103">
        <v>29</v>
      </c>
    </row>
    <row r="59" spans="2:26" x14ac:dyDescent="0.55000000000000004">
      <c r="I59" s="22"/>
      <c r="J59" s="22"/>
      <c r="K59" s="103">
        <v>30</v>
      </c>
    </row>
    <row r="60" spans="2:26" x14ac:dyDescent="0.55000000000000004">
      <c r="H60" s="22"/>
      <c r="I60" s="22"/>
      <c r="J60" s="22"/>
      <c r="K60" s="103">
        <v>31</v>
      </c>
    </row>
    <row r="61" spans="2:26" x14ac:dyDescent="0.55000000000000004">
      <c r="H61" s="22"/>
      <c r="I61" s="22"/>
      <c r="J61" s="22"/>
      <c r="K61" s="103">
        <v>32</v>
      </c>
    </row>
    <row r="62" spans="2:26" x14ac:dyDescent="0.55000000000000004">
      <c r="H62" s="22"/>
      <c r="I62" s="22"/>
      <c r="J62" s="22"/>
      <c r="K62" s="103">
        <v>33</v>
      </c>
    </row>
    <row r="63" spans="2:26" x14ac:dyDescent="0.55000000000000004">
      <c r="B63" s="22"/>
      <c r="C63" s="22"/>
      <c r="D63" s="52"/>
      <c r="E63" s="22"/>
      <c r="F63" s="52"/>
      <c r="G63" s="22"/>
      <c r="H63" s="22"/>
      <c r="I63" s="22"/>
      <c r="J63" s="22"/>
      <c r="K63" s="103">
        <v>34</v>
      </c>
    </row>
    <row r="64" spans="2:26" x14ac:dyDescent="0.55000000000000004">
      <c r="B64" s="22"/>
      <c r="C64" s="22"/>
      <c r="D64" s="22"/>
      <c r="E64" s="22"/>
      <c r="F64" s="52"/>
      <c r="G64" s="22"/>
      <c r="H64" s="22"/>
      <c r="I64" s="22"/>
      <c r="J64" s="22"/>
      <c r="K64" s="103">
        <v>35</v>
      </c>
      <c r="W64" s="22"/>
      <c r="X64" s="22"/>
      <c r="Y64" s="22"/>
      <c r="Z64" s="22"/>
    </row>
    <row r="65" spans="2:26" x14ac:dyDescent="0.55000000000000004">
      <c r="B65" s="22"/>
      <c r="C65" s="22"/>
      <c r="D65" s="22"/>
      <c r="E65" s="22"/>
      <c r="F65" s="52"/>
      <c r="G65" s="22"/>
      <c r="H65" s="22"/>
      <c r="I65" s="22"/>
      <c r="J65" s="22"/>
      <c r="W65" s="22"/>
      <c r="X65" s="22"/>
      <c r="Y65" s="22"/>
      <c r="Z65" s="10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showGridLines="0" workbookViewId="0">
      <selection activeCell="I19" sqref="I19"/>
    </sheetView>
  </sheetViews>
  <sheetFormatPr defaultRowHeight="14.25" x14ac:dyDescent="0.45"/>
  <cols>
    <col min="4" max="4" width="10.73046875" customWidth="1"/>
  </cols>
  <sheetData>
    <row r="1" spans="1:10" x14ac:dyDescent="0.45">
      <c r="A1" t="s">
        <v>93</v>
      </c>
    </row>
    <row r="2" spans="1:10" x14ac:dyDescent="0.45">
      <c r="B2" s="139" t="s">
        <v>94</v>
      </c>
      <c r="C2" s="139"/>
      <c r="D2" s="139" t="s">
        <v>30</v>
      </c>
      <c r="E2" s="139"/>
      <c r="F2" s="140"/>
      <c r="G2" s="139" t="s">
        <v>36</v>
      </c>
      <c r="H2" s="139"/>
      <c r="I2" s="139" t="s">
        <v>46</v>
      </c>
      <c r="J2" s="139"/>
    </row>
    <row r="3" spans="1:10" x14ac:dyDescent="0.45">
      <c r="B3" t="s">
        <v>110</v>
      </c>
      <c r="D3" s="5">
        <v>125000</v>
      </c>
      <c r="F3" s="4"/>
      <c r="G3" s="9">
        <f>+D3/'Base '!D$21</f>
        <v>2.0833333333333332E-2</v>
      </c>
      <c r="I3" s="4">
        <f>+D3/'Base '!I$21</f>
        <v>27.414259927797833</v>
      </c>
    </row>
    <row r="4" spans="1:10" x14ac:dyDescent="0.45">
      <c r="B4" t="s">
        <v>95</v>
      </c>
      <c r="D4" s="5">
        <v>50000</v>
      </c>
      <c r="G4" s="9">
        <f>+D4/'Base '!D$21</f>
        <v>8.3333333333333332E-3</v>
      </c>
      <c r="I4" s="4">
        <f>+D4/'Base '!I$21</f>
        <v>10.965703971119133</v>
      </c>
    </row>
    <row r="5" spans="1:10" x14ac:dyDescent="0.45">
      <c r="B5" t="s">
        <v>87</v>
      </c>
      <c r="D5" s="5">
        <v>10000</v>
      </c>
      <c r="G5" s="9">
        <f>+D5/'Base '!D$21</f>
        <v>1.6666666666666668E-3</v>
      </c>
      <c r="I5" s="4">
        <f>+D5/'Base '!I$21</f>
        <v>2.1931407942238264</v>
      </c>
    </row>
    <row r="6" spans="1:10" x14ac:dyDescent="0.45">
      <c r="B6" t="s">
        <v>96</v>
      </c>
      <c r="D6" s="5">
        <v>15000</v>
      </c>
      <c r="G6" s="9">
        <f>+D6/'Base '!D$21</f>
        <v>2.5000000000000001E-3</v>
      </c>
      <c r="I6" s="4">
        <f>+D6/'Base '!I$21</f>
        <v>3.2897111913357397</v>
      </c>
    </row>
    <row r="7" spans="1:10" x14ac:dyDescent="0.45">
      <c r="B7" t="s">
        <v>97</v>
      </c>
      <c r="D7" s="5">
        <v>50000</v>
      </c>
      <c r="G7" s="9">
        <f>+D7/'Base '!D$21</f>
        <v>8.3333333333333332E-3</v>
      </c>
      <c r="I7" s="4">
        <f>+D7/'Base '!I$21</f>
        <v>10.965703971119133</v>
      </c>
    </row>
    <row r="8" spans="1:10" x14ac:dyDescent="0.45">
      <c r="B8" t="s">
        <v>111</v>
      </c>
      <c r="D8" s="5">
        <v>40000</v>
      </c>
      <c r="G8" s="9">
        <f>+D8/'Base '!D$21</f>
        <v>6.6666666666666671E-3</v>
      </c>
      <c r="I8" s="4">
        <f>+D8/'Base '!I$21</f>
        <v>8.7725631768953054</v>
      </c>
    </row>
    <row r="9" spans="1:10" x14ac:dyDescent="0.45">
      <c r="D9" s="5"/>
      <c r="G9" s="9">
        <f>+D9/'Base '!D$21</f>
        <v>0</v>
      </c>
      <c r="I9" s="4">
        <f>+D9/'Base '!I$21</f>
        <v>0</v>
      </c>
    </row>
    <row r="10" spans="1:10" x14ac:dyDescent="0.45">
      <c r="B10" t="s">
        <v>98</v>
      </c>
      <c r="D10" s="5">
        <v>0</v>
      </c>
      <c r="G10" s="9">
        <f>+D10/'Base '!D$21</f>
        <v>0</v>
      </c>
      <c r="I10" s="4">
        <f>+D10/'Base '!I$21</f>
        <v>0</v>
      </c>
    </row>
    <row r="11" spans="1:10" x14ac:dyDescent="0.45">
      <c r="B11" s="13" t="s">
        <v>9</v>
      </c>
      <c r="C11" s="13"/>
      <c r="D11" s="18">
        <f>+SUM(D3:D10)</f>
        <v>290000</v>
      </c>
      <c r="E11" s="13"/>
      <c r="F11" s="13"/>
      <c r="G11" s="19">
        <f>+D11/'Base '!D$21</f>
        <v>4.8333333333333332E-2</v>
      </c>
      <c r="H11" s="13"/>
      <c r="I11" s="20">
        <f>+D11/'Base '!I$21</f>
        <v>63.601083032490969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"/>
  <sheetViews>
    <sheetView showGridLines="0" topLeftCell="A4" workbookViewId="0">
      <selection activeCell="E25" sqref="E25"/>
    </sheetView>
  </sheetViews>
  <sheetFormatPr defaultRowHeight="14.25" x14ac:dyDescent="0.45"/>
  <cols>
    <col min="3" max="3" width="12" customWidth="1"/>
    <col min="4" max="4" width="14.265625" bestFit="1" customWidth="1"/>
    <col min="5" max="5" width="14" customWidth="1"/>
    <col min="6" max="6" width="14.3984375" customWidth="1"/>
    <col min="7" max="7" width="13.1328125" customWidth="1"/>
  </cols>
  <sheetData>
    <row r="1" spans="1:16" x14ac:dyDescent="0.45">
      <c r="A1" t="s">
        <v>24</v>
      </c>
    </row>
    <row r="3" spans="1:16" ht="28.5" x14ac:dyDescent="0.45">
      <c r="B3" s="133" t="s">
        <v>22</v>
      </c>
      <c r="C3" s="133"/>
      <c r="D3" s="133" t="s">
        <v>42</v>
      </c>
      <c r="E3" s="134" t="s">
        <v>145</v>
      </c>
      <c r="F3" s="134" t="s">
        <v>146</v>
      </c>
      <c r="G3" s="134" t="s">
        <v>16</v>
      </c>
      <c r="H3" s="133"/>
      <c r="I3" s="134" t="s">
        <v>41</v>
      </c>
    </row>
    <row r="4" spans="1:16" x14ac:dyDescent="0.45">
      <c r="B4" t="s">
        <v>15</v>
      </c>
      <c r="D4" s="5">
        <v>2000000</v>
      </c>
      <c r="E4" s="7">
        <v>7</v>
      </c>
      <c r="F4" s="6">
        <f>+D4/E4</f>
        <v>285714.28571428574</v>
      </c>
      <c r="G4" s="9">
        <f>+F4/'Base '!D17</f>
        <v>9.5238095238095247E-2</v>
      </c>
      <c r="I4" s="4">
        <f>+F4/'Base '!I17</f>
        <v>148.35164835164835</v>
      </c>
    </row>
    <row r="5" spans="1:16" x14ac:dyDescent="0.45">
      <c r="B5" t="s">
        <v>2</v>
      </c>
      <c r="D5" s="5">
        <v>1000000</v>
      </c>
      <c r="E5" s="7">
        <v>7</v>
      </c>
      <c r="F5" s="6">
        <f>+D5/E5</f>
        <v>142857.14285714287</v>
      </c>
      <c r="G5" s="9">
        <f>+F5/'Base '!D20</f>
        <v>4.7619047619047623E-2</v>
      </c>
      <c r="I5" s="4">
        <f>+F5/'Base '!I20</f>
        <v>54.241071428571431</v>
      </c>
    </row>
    <row r="6" spans="1:16" x14ac:dyDescent="0.45">
      <c r="D6" s="6"/>
      <c r="F6" s="6"/>
    </row>
    <row r="7" spans="1:16" x14ac:dyDescent="0.45">
      <c r="C7" s="10" t="s">
        <v>21</v>
      </c>
      <c r="D7" s="5">
        <v>1000000</v>
      </c>
      <c r="E7" s="7">
        <v>30</v>
      </c>
      <c r="F7" s="6">
        <f>+D7/E7</f>
        <v>33333.333333333336</v>
      </c>
      <c r="G7" s="9">
        <f>+F7/'Base '!D21</f>
        <v>5.5555555555555558E-3</v>
      </c>
      <c r="I7" s="4">
        <f>+F7/'Base '!I21</f>
        <v>7.3104693140794224</v>
      </c>
    </row>
    <row r="8" spans="1:16" x14ac:dyDescent="0.45">
      <c r="D8" s="6"/>
      <c r="F8" s="6"/>
    </row>
    <row r="9" spans="1:16" x14ac:dyDescent="0.45">
      <c r="B9" t="s">
        <v>23</v>
      </c>
      <c r="D9" s="11">
        <f>+SUM(D4:D8)</f>
        <v>4000000</v>
      </c>
      <c r="F9" s="11">
        <f>+SUM(F4:F8)</f>
        <v>461904.76190476195</v>
      </c>
      <c r="G9" s="9">
        <f>+F9/'Base '!D21</f>
        <v>7.6984126984126988E-2</v>
      </c>
      <c r="I9" s="4">
        <f>+F9/'Base '!I21</f>
        <v>101.30221763795771</v>
      </c>
    </row>
    <row r="10" spans="1:16" x14ac:dyDescent="0.45">
      <c r="F10" s="6"/>
    </row>
    <row r="11" spans="1:16" x14ac:dyDescent="0.45">
      <c r="F11" s="4"/>
    </row>
    <row r="12" spans="1:16" x14ac:dyDescent="0.45">
      <c r="B12" s="133"/>
      <c r="C12" s="133"/>
      <c r="D12" s="133" t="s">
        <v>30</v>
      </c>
      <c r="E12" s="133"/>
      <c r="F12" s="135"/>
      <c r="G12" s="133" t="s">
        <v>36</v>
      </c>
      <c r="H12" s="133"/>
      <c r="I12" s="133"/>
    </row>
    <row r="13" spans="1:16" x14ac:dyDescent="0.45">
      <c r="B13" t="s">
        <v>25</v>
      </c>
      <c r="D13" s="5">
        <v>50000</v>
      </c>
      <c r="G13" s="9">
        <f>+D13/'Base '!D$21</f>
        <v>8.3333333333333332E-3</v>
      </c>
      <c r="I13" s="4">
        <f>+D13/'Base '!I$21</f>
        <v>10.965703971119133</v>
      </c>
      <c r="L13" s="13" t="s">
        <v>147</v>
      </c>
      <c r="M13" s="13"/>
      <c r="N13" s="13"/>
      <c r="O13" s="13"/>
      <c r="P13" s="13"/>
    </row>
    <row r="14" spans="1:16" x14ac:dyDescent="0.45">
      <c r="B14" t="s">
        <v>26</v>
      </c>
      <c r="D14" s="5">
        <v>60000</v>
      </c>
      <c r="G14" s="9">
        <f>+D14/'Base '!D$21</f>
        <v>0.01</v>
      </c>
      <c r="I14" s="4">
        <f>+D14/'Base '!I$21</f>
        <v>13.158844765342959</v>
      </c>
      <c r="L14" s="136" t="s">
        <v>108</v>
      </c>
      <c r="M14" s="136" t="s">
        <v>109</v>
      </c>
      <c r="N14" s="136" t="s">
        <v>98</v>
      </c>
      <c r="O14" s="136" t="s">
        <v>9</v>
      </c>
      <c r="P14" s="13"/>
    </row>
    <row r="15" spans="1:16" x14ac:dyDescent="0.45">
      <c r="B15" t="s">
        <v>27</v>
      </c>
      <c r="D15" s="5">
        <v>10000</v>
      </c>
      <c r="G15" s="9">
        <f>+D15/'Base '!D$21</f>
        <v>1.6666666666666668E-3</v>
      </c>
      <c r="I15" s="4">
        <f>+D15/'Base '!I$21</f>
        <v>2.1931407942238264</v>
      </c>
      <c r="L15" s="137">
        <f>+I4</f>
        <v>148.35164835164835</v>
      </c>
      <c r="M15" s="137">
        <f>+I7</f>
        <v>7.3104693140794224</v>
      </c>
      <c r="N15" s="137">
        <f>+I24</f>
        <v>82.462093862815877</v>
      </c>
      <c r="O15" s="137">
        <f>+L15+M15+N15</f>
        <v>238.12421152854364</v>
      </c>
      <c r="P15" s="13"/>
    </row>
    <row r="16" spans="1:16" x14ac:dyDescent="0.45">
      <c r="B16" t="s">
        <v>28</v>
      </c>
      <c r="D16" s="5">
        <v>15000</v>
      </c>
      <c r="G16" s="9">
        <f>+D16/'Base '!D$21</f>
        <v>2.5000000000000001E-3</v>
      </c>
      <c r="I16" s="4">
        <f>+D16/'Base '!I$21</f>
        <v>3.2897111913357397</v>
      </c>
      <c r="L16" s="13"/>
      <c r="M16" s="13"/>
      <c r="N16" s="13"/>
      <c r="O16" s="13"/>
      <c r="P16" s="13"/>
    </row>
    <row r="17" spans="2:16" x14ac:dyDescent="0.45">
      <c r="B17" t="s">
        <v>29</v>
      </c>
      <c r="D17" s="5">
        <v>125000</v>
      </c>
      <c r="G17" s="9">
        <f>+D17/'Base '!D$21</f>
        <v>2.0833333333333332E-2</v>
      </c>
      <c r="I17" s="4">
        <f>+D17/'Base '!I$21</f>
        <v>27.414259927797833</v>
      </c>
      <c r="L17" s="13"/>
      <c r="M17" s="13"/>
      <c r="N17" s="13"/>
      <c r="O17" s="13"/>
      <c r="P17" s="13"/>
    </row>
    <row r="18" spans="2:16" x14ac:dyDescent="0.45">
      <c r="B18" t="s">
        <v>31</v>
      </c>
      <c r="D18" s="5">
        <v>50000</v>
      </c>
      <c r="G18" s="9">
        <f>+D18/'Base '!D$21</f>
        <v>8.3333333333333332E-3</v>
      </c>
      <c r="I18" s="4">
        <f>+D18/'Base '!I$21</f>
        <v>10.965703971119133</v>
      </c>
      <c r="L18" s="13" t="s">
        <v>148</v>
      </c>
      <c r="M18" s="13"/>
      <c r="N18" s="13"/>
      <c r="O18" s="13"/>
      <c r="P18" s="13"/>
    </row>
    <row r="19" spans="2:16" x14ac:dyDescent="0.45">
      <c r="B19" t="s">
        <v>32</v>
      </c>
      <c r="D19" s="5">
        <v>45000</v>
      </c>
      <c r="G19" s="9">
        <f>+D19/'Base '!D$21</f>
        <v>7.4999999999999997E-3</v>
      </c>
      <c r="I19" s="4">
        <f>+D19/'Base '!I$21</f>
        <v>9.8691335740072201</v>
      </c>
      <c r="L19" s="136" t="s">
        <v>108</v>
      </c>
      <c r="M19" s="136" t="s">
        <v>109</v>
      </c>
      <c r="N19" s="136" t="s">
        <v>98</v>
      </c>
      <c r="O19" s="136" t="s">
        <v>9</v>
      </c>
      <c r="P19" s="13"/>
    </row>
    <row r="20" spans="2:16" x14ac:dyDescent="0.45">
      <c r="B20" t="s">
        <v>33</v>
      </c>
      <c r="D20" s="5">
        <v>6000</v>
      </c>
      <c r="G20" s="9">
        <f>+D20/'Base '!D$21</f>
        <v>1E-3</v>
      </c>
      <c r="I20" s="4">
        <f>+D20/'Base '!I$21</f>
        <v>1.3158844765342959</v>
      </c>
      <c r="L20" s="137">
        <f>+I5</f>
        <v>54.241071428571431</v>
      </c>
      <c r="M20" s="137">
        <f>+I7</f>
        <v>7.3104693140794224</v>
      </c>
      <c r="N20" s="137">
        <f>+I24</f>
        <v>82.462093862815877</v>
      </c>
      <c r="O20" s="137">
        <f>+L20+M20+N20</f>
        <v>144.01363460546673</v>
      </c>
      <c r="P20" s="13"/>
    </row>
    <row r="21" spans="2:16" x14ac:dyDescent="0.45">
      <c r="B21" t="s">
        <v>34</v>
      </c>
      <c r="D21" s="5">
        <v>5000</v>
      </c>
      <c r="G21" s="9">
        <f>+D21/'Base '!D$21</f>
        <v>8.3333333333333339E-4</v>
      </c>
      <c r="I21" s="4">
        <f>+D21/'Base '!I$21</f>
        <v>1.0965703971119132</v>
      </c>
      <c r="L21" s="13"/>
      <c r="M21" s="13"/>
      <c r="N21" s="13"/>
      <c r="O21" s="13"/>
      <c r="P21" s="13"/>
    </row>
    <row r="22" spans="2:16" x14ac:dyDescent="0.45">
      <c r="B22" t="s">
        <v>35</v>
      </c>
      <c r="D22" s="5">
        <v>10000</v>
      </c>
      <c r="G22" s="9">
        <f>+D22/'Base '!D$21</f>
        <v>1.6666666666666668E-3</v>
      </c>
      <c r="I22" s="4">
        <f>+D22/'Base '!I$21</f>
        <v>2.1931407942238264</v>
      </c>
    </row>
    <row r="23" spans="2:16" x14ac:dyDescent="0.45">
      <c r="G23" s="9">
        <f>+D23/'Base '!D$21</f>
        <v>0</v>
      </c>
      <c r="I23" s="4">
        <f>+D23/'Base '!I$21</f>
        <v>0</v>
      </c>
    </row>
    <row r="24" spans="2:16" x14ac:dyDescent="0.45">
      <c r="B24" t="s">
        <v>9</v>
      </c>
      <c r="D24" s="11">
        <f>+SUM(D13:D23)</f>
        <v>376000</v>
      </c>
      <c r="G24" s="9">
        <f>+D24/'Base '!D$21</f>
        <v>6.2666666666666662E-2</v>
      </c>
      <c r="I24" s="4">
        <f>+D24/'Base '!I$21</f>
        <v>82.462093862815877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"/>
  <sheetViews>
    <sheetView showGridLines="0" workbookViewId="0">
      <selection activeCell="G14" sqref="G14"/>
    </sheetView>
  </sheetViews>
  <sheetFormatPr defaultRowHeight="14.25" x14ac:dyDescent="0.45"/>
  <cols>
    <col min="4" max="4" width="13.1328125" customWidth="1"/>
  </cols>
  <sheetData>
    <row r="1" spans="1:10" x14ac:dyDescent="0.45">
      <c r="A1" t="s">
        <v>48</v>
      </c>
    </row>
    <row r="2" spans="1:10" x14ac:dyDescent="0.45">
      <c r="B2" s="136" t="s">
        <v>44</v>
      </c>
      <c r="C2" s="136"/>
      <c r="D2" s="136" t="s">
        <v>30</v>
      </c>
      <c r="E2" s="136"/>
      <c r="F2" s="138"/>
      <c r="G2" s="136" t="s">
        <v>36</v>
      </c>
      <c r="H2" s="136"/>
      <c r="I2" s="136" t="s">
        <v>46</v>
      </c>
      <c r="J2" s="136"/>
    </row>
    <row r="3" spans="1:10" x14ac:dyDescent="0.45">
      <c r="B3" t="s">
        <v>43</v>
      </c>
      <c r="D3" s="5">
        <v>150000</v>
      </c>
      <c r="F3" s="4"/>
      <c r="G3" s="9">
        <f>+D3/'Base '!D$21</f>
        <v>2.5000000000000001E-2</v>
      </c>
      <c r="I3" s="4">
        <f>+D3/'Base '!I$21</f>
        <v>32.897111913357399</v>
      </c>
    </row>
    <row r="4" spans="1:10" x14ac:dyDescent="0.45">
      <c r="B4" t="s">
        <v>45</v>
      </c>
      <c r="D4" s="5">
        <v>50000</v>
      </c>
      <c r="G4" s="9">
        <f>+D4/'Base '!D$21</f>
        <v>8.3333333333333332E-3</v>
      </c>
      <c r="I4" s="4">
        <f>+D4/'Base '!I$21</f>
        <v>10.965703971119133</v>
      </c>
    </row>
    <row r="5" spans="1:10" x14ac:dyDescent="0.45">
      <c r="B5" t="s">
        <v>47</v>
      </c>
      <c r="D5" s="5">
        <v>30000</v>
      </c>
      <c r="G5" s="9">
        <f>+D5/'Base '!D$21</f>
        <v>5.0000000000000001E-3</v>
      </c>
      <c r="I5" s="4">
        <f>+D5/'Base '!I$21</f>
        <v>6.5794223826714795</v>
      </c>
    </row>
    <row r="6" spans="1:10" x14ac:dyDescent="0.45">
      <c r="B6" t="s">
        <v>49</v>
      </c>
      <c r="D6" s="5">
        <v>75000</v>
      </c>
      <c r="G6" s="9">
        <f>+D6/'Base '!D$21</f>
        <v>1.2500000000000001E-2</v>
      </c>
      <c r="I6" s="4">
        <f>+D6/'Base '!I$21</f>
        <v>16.4485559566787</v>
      </c>
    </row>
    <row r="9" spans="1:10" x14ac:dyDescent="0.45">
      <c r="B9" t="s">
        <v>9</v>
      </c>
      <c r="D9" s="11">
        <f>+SUM(D3:D8)</f>
        <v>305000</v>
      </c>
      <c r="G9" s="9">
        <f>+D9/'Base '!D$21</f>
        <v>5.0833333333333335E-2</v>
      </c>
      <c r="I9" s="4">
        <f>+D9/'Base '!I$21</f>
        <v>66.890794223826717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65"/>
  <sheetViews>
    <sheetView showGridLines="0" zoomScale="50" zoomScaleNormal="50" workbookViewId="0">
      <selection sqref="A1:T32"/>
    </sheetView>
  </sheetViews>
  <sheetFormatPr defaultColWidth="9.1328125" defaultRowHeight="20.65" x14ac:dyDescent="0.55000000000000004"/>
  <cols>
    <col min="1" max="1" width="9.1328125" style="26"/>
    <col min="2" max="2" width="21.73046875" style="26" customWidth="1"/>
    <col min="3" max="3" width="18.1328125" style="26" customWidth="1"/>
    <col min="4" max="4" width="14.86328125" style="26" bestFit="1" customWidth="1"/>
    <col min="5" max="5" width="9.3984375" style="26" bestFit="1" customWidth="1"/>
    <col min="6" max="6" width="10" style="26" bestFit="1" customWidth="1"/>
    <col min="7" max="7" width="9.1328125" style="26"/>
    <col min="8" max="8" width="19.86328125" style="26" customWidth="1"/>
    <col min="9" max="9" width="11.265625" style="26" bestFit="1" customWidth="1"/>
    <col min="10" max="10" width="11.1328125" style="26" bestFit="1" customWidth="1"/>
    <col min="11" max="11" width="11" style="26" customWidth="1"/>
    <col min="12" max="12" width="11.73046875" style="26" customWidth="1"/>
    <col min="13" max="13" width="6" style="26" customWidth="1"/>
    <col min="14" max="14" width="12.86328125" style="26" customWidth="1"/>
    <col min="15" max="15" width="18.73046875" style="26" customWidth="1"/>
    <col min="16" max="16" width="13.3984375" style="26" customWidth="1"/>
    <col min="17" max="17" width="9.265625" style="26" bestFit="1" customWidth="1"/>
    <col min="18" max="16384" width="9.1328125" style="26"/>
  </cols>
  <sheetData>
    <row r="1" spans="1:17" x14ac:dyDescent="0.55000000000000004">
      <c r="B1" s="21" t="s">
        <v>50</v>
      </c>
      <c r="C1" s="83" t="s">
        <v>99</v>
      </c>
      <c r="D1" s="22"/>
      <c r="E1" s="22"/>
      <c r="F1" s="23"/>
      <c r="G1" s="24"/>
      <c r="H1" s="24"/>
      <c r="I1" s="24"/>
      <c r="J1" s="25"/>
      <c r="K1" s="22"/>
    </row>
    <row r="2" spans="1:17" x14ac:dyDescent="0.55000000000000004">
      <c r="B2" s="21" t="s">
        <v>51</v>
      </c>
      <c r="C2" s="27">
        <f>+(C4*C5)/12*C3/16</f>
        <v>15.625</v>
      </c>
      <c r="D2" s="22"/>
      <c r="E2" s="22"/>
      <c r="F2" s="28"/>
      <c r="G2" s="28"/>
      <c r="H2" s="29" t="s">
        <v>54</v>
      </c>
      <c r="I2" s="29"/>
      <c r="J2" s="30" t="s">
        <v>55</v>
      </c>
      <c r="K2" s="30" t="s">
        <v>56</v>
      </c>
      <c r="L2" s="30" t="s">
        <v>57</v>
      </c>
      <c r="M2" s="30"/>
      <c r="N2" s="31" t="s">
        <v>58</v>
      </c>
      <c r="O2" s="32" t="s">
        <v>113</v>
      </c>
      <c r="P2" s="21"/>
      <c r="Q2" s="21"/>
    </row>
    <row r="3" spans="1:17" x14ac:dyDescent="0.55000000000000004">
      <c r="B3" s="21" t="s">
        <v>52</v>
      </c>
      <c r="C3" s="106">
        <v>12.5</v>
      </c>
      <c r="D3" s="22"/>
      <c r="E3" s="22"/>
      <c r="F3" s="25"/>
      <c r="G3" s="25"/>
      <c r="H3" s="34" t="s">
        <v>86</v>
      </c>
      <c r="I3" s="34"/>
      <c r="J3" s="35">
        <v>300</v>
      </c>
      <c r="K3" s="36">
        <f>+J3/J3</f>
        <v>1</v>
      </c>
      <c r="L3" s="37">
        <v>0.18</v>
      </c>
      <c r="M3" s="38"/>
      <c r="N3" s="39">
        <f t="shared" ref="N3:N15" si="0">+L3*J3</f>
        <v>54</v>
      </c>
      <c r="O3" s="40">
        <f t="shared" ref="O3:O15" si="1">N3/$C$27</f>
        <v>0.12328767123287671</v>
      </c>
      <c r="P3" s="41"/>
      <c r="Q3" s="34"/>
    </row>
    <row r="4" spans="1:17" x14ac:dyDescent="0.55000000000000004">
      <c r="B4" s="21" t="s">
        <v>53</v>
      </c>
      <c r="C4" s="83">
        <v>20</v>
      </c>
      <c r="D4" s="21"/>
      <c r="E4" s="22"/>
      <c r="F4" s="22"/>
      <c r="G4" s="22"/>
      <c r="H4" s="34"/>
      <c r="I4" s="34"/>
      <c r="J4" s="35"/>
      <c r="K4" s="36"/>
      <c r="L4" s="37"/>
      <c r="M4" s="38"/>
      <c r="N4" s="39">
        <f>+L4*J4</f>
        <v>0</v>
      </c>
      <c r="O4" s="40">
        <f t="shared" si="1"/>
        <v>0</v>
      </c>
      <c r="P4" s="34"/>
      <c r="Q4" s="34"/>
    </row>
    <row r="5" spans="1:17" x14ac:dyDescent="0.55000000000000004">
      <c r="B5" s="21" t="s">
        <v>85</v>
      </c>
      <c r="C5" s="83">
        <v>12</v>
      </c>
      <c r="D5" s="22"/>
      <c r="E5" s="22"/>
      <c r="F5" s="22"/>
      <c r="G5" s="22"/>
      <c r="H5" s="34"/>
      <c r="I5" s="34"/>
      <c r="J5" s="35"/>
      <c r="K5" s="36"/>
      <c r="L5" s="37"/>
      <c r="M5" s="38"/>
      <c r="N5" s="39">
        <f t="shared" si="0"/>
        <v>0</v>
      </c>
      <c r="O5" s="40">
        <f t="shared" si="1"/>
        <v>0</v>
      </c>
      <c r="P5" s="44"/>
      <c r="Q5" s="45"/>
    </row>
    <row r="6" spans="1:17" x14ac:dyDescent="0.55000000000000004">
      <c r="H6" s="34" t="s">
        <v>87</v>
      </c>
      <c r="I6" s="34"/>
      <c r="J6" s="35">
        <v>150</v>
      </c>
      <c r="K6" s="36">
        <f>+J6/J$3</f>
        <v>0.5</v>
      </c>
      <c r="L6" s="37">
        <v>0</v>
      </c>
      <c r="M6" s="38"/>
      <c r="N6" s="39">
        <f t="shared" si="0"/>
        <v>0</v>
      </c>
      <c r="O6" s="40">
        <f t="shared" si="1"/>
        <v>0</v>
      </c>
      <c r="P6" s="41"/>
      <c r="Q6" s="34"/>
    </row>
    <row r="7" spans="1:17" x14ac:dyDescent="0.55000000000000004">
      <c r="A7" s="22" t="s">
        <v>8</v>
      </c>
      <c r="B7" s="22"/>
      <c r="C7" s="33">
        <f>+'Base '!D15</f>
        <v>1500000</v>
      </c>
      <c r="D7" s="22"/>
      <c r="E7" s="22"/>
      <c r="F7" s="22"/>
      <c r="H7" s="46" t="s">
        <v>88</v>
      </c>
      <c r="I7" s="34"/>
      <c r="J7" s="35">
        <v>30</v>
      </c>
      <c r="K7" s="36">
        <f>+J7/J$3</f>
        <v>0.1</v>
      </c>
      <c r="L7" s="37">
        <v>0.55000000000000004</v>
      </c>
      <c r="M7" s="38"/>
      <c r="N7" s="39">
        <f t="shared" si="0"/>
        <v>16.5</v>
      </c>
      <c r="O7" s="40">
        <f t="shared" si="1"/>
        <v>3.7671232876712327E-2</v>
      </c>
      <c r="P7" s="34"/>
      <c r="Q7" s="34"/>
    </row>
    <row r="8" spans="1:17" x14ac:dyDescent="0.55000000000000004">
      <c r="A8" s="22" t="s">
        <v>73</v>
      </c>
      <c r="B8" s="22"/>
      <c r="C8" s="42">
        <v>52</v>
      </c>
      <c r="D8" s="22"/>
      <c r="E8" s="22"/>
      <c r="F8" s="22"/>
      <c r="H8" s="34" t="s">
        <v>89</v>
      </c>
      <c r="I8" s="34"/>
      <c r="J8" s="35">
        <v>24</v>
      </c>
      <c r="K8" s="36">
        <f>+J8/J$3</f>
        <v>0.08</v>
      </c>
      <c r="L8" s="37">
        <v>1.5</v>
      </c>
      <c r="M8" s="38"/>
      <c r="N8" s="39">
        <f t="shared" si="0"/>
        <v>36</v>
      </c>
      <c r="O8" s="40">
        <f t="shared" si="1"/>
        <v>8.2191780821917804E-2</v>
      </c>
      <c r="P8" s="34"/>
      <c r="Q8" s="34"/>
    </row>
    <row r="9" spans="1:17" x14ac:dyDescent="0.55000000000000004">
      <c r="A9" s="22" t="s">
        <v>74</v>
      </c>
      <c r="B9" s="22"/>
      <c r="C9" s="43">
        <f>C7/C8</f>
        <v>28846.153846153848</v>
      </c>
      <c r="D9" s="22"/>
      <c r="E9" s="34"/>
      <c r="F9" s="22"/>
      <c r="H9" s="34" t="s">
        <v>91</v>
      </c>
      <c r="I9" s="34"/>
      <c r="J9" s="35">
        <v>0.1</v>
      </c>
      <c r="K9" s="36">
        <f>+J9/J$3</f>
        <v>3.3333333333333338E-4</v>
      </c>
      <c r="L9" s="37">
        <v>1</v>
      </c>
      <c r="M9" s="38"/>
      <c r="N9" s="39">
        <f t="shared" si="0"/>
        <v>0.1</v>
      </c>
      <c r="O9" s="40">
        <f t="shared" si="1"/>
        <v>2.2831050228310504E-4</v>
      </c>
      <c r="P9" s="34"/>
      <c r="Q9" s="49"/>
    </row>
    <row r="10" spans="1:17" x14ac:dyDescent="0.55000000000000004">
      <c r="A10" s="22" t="s">
        <v>75</v>
      </c>
      <c r="B10" s="22"/>
      <c r="C10" s="43">
        <f>C7/C16</f>
        <v>1185.1851851851852</v>
      </c>
      <c r="D10" s="22"/>
      <c r="E10" s="22"/>
      <c r="F10" s="22"/>
      <c r="H10" s="34" t="s">
        <v>90</v>
      </c>
      <c r="I10" s="34"/>
      <c r="J10" s="35"/>
      <c r="K10" s="36">
        <f>+J10/J$3</f>
        <v>0</v>
      </c>
      <c r="L10" s="37"/>
      <c r="M10" s="38"/>
      <c r="N10" s="39">
        <f t="shared" si="0"/>
        <v>0</v>
      </c>
      <c r="O10" s="40">
        <f t="shared" si="1"/>
        <v>0</v>
      </c>
      <c r="P10" s="34"/>
      <c r="Q10" s="49"/>
    </row>
    <row r="11" spans="1:17" x14ac:dyDescent="0.55000000000000004">
      <c r="A11" s="22" t="s">
        <v>76</v>
      </c>
      <c r="B11" s="22"/>
      <c r="C11" s="43">
        <f>+C7/C17</f>
        <v>1066.6666666666667</v>
      </c>
      <c r="D11" s="22"/>
      <c r="E11" s="22"/>
      <c r="F11" s="22"/>
      <c r="H11" s="46"/>
      <c r="I11" s="34"/>
      <c r="J11" s="35"/>
      <c r="K11" s="36"/>
      <c r="L11" s="37"/>
      <c r="M11" s="38"/>
      <c r="N11" s="39">
        <f t="shared" si="0"/>
        <v>0</v>
      </c>
      <c r="O11" s="40">
        <f t="shared" si="1"/>
        <v>0</v>
      </c>
      <c r="P11" s="34"/>
      <c r="Q11" s="49"/>
    </row>
    <row r="12" spans="1:17" x14ac:dyDescent="0.55000000000000004">
      <c r="A12" s="34" t="s">
        <v>100</v>
      </c>
      <c r="B12" s="34"/>
      <c r="C12" s="45">
        <f>+C11/C8</f>
        <v>20.512820512820515</v>
      </c>
      <c r="D12" s="34"/>
      <c r="E12" s="34"/>
      <c r="F12" s="34"/>
      <c r="H12" s="46"/>
      <c r="I12" s="34"/>
      <c r="J12" s="35"/>
      <c r="K12" s="36"/>
      <c r="L12" s="37"/>
      <c r="M12" s="38"/>
      <c r="N12" s="39">
        <f t="shared" si="0"/>
        <v>0</v>
      </c>
      <c r="O12" s="40">
        <f t="shared" si="1"/>
        <v>0</v>
      </c>
      <c r="P12" s="34"/>
      <c r="Q12" s="49"/>
    </row>
    <row r="13" spans="1:17" x14ac:dyDescent="0.55000000000000004">
      <c r="A13" s="48" t="s">
        <v>101</v>
      </c>
      <c r="B13" s="34"/>
      <c r="C13" s="47">
        <v>24</v>
      </c>
      <c r="D13" s="34"/>
      <c r="E13" s="34"/>
      <c r="F13" s="34"/>
      <c r="H13" s="34"/>
      <c r="I13" s="34"/>
      <c r="J13" s="35"/>
      <c r="K13" s="36"/>
      <c r="L13" s="37"/>
      <c r="M13" s="38"/>
      <c r="N13" s="39">
        <f>+L13*I13</f>
        <v>0</v>
      </c>
      <c r="O13" s="40">
        <f t="shared" si="1"/>
        <v>0</v>
      </c>
      <c r="P13" s="34"/>
      <c r="Q13" s="49"/>
    </row>
    <row r="14" spans="1:17" x14ac:dyDescent="0.55000000000000004">
      <c r="A14" s="48" t="s">
        <v>102</v>
      </c>
      <c r="B14" s="22"/>
      <c r="C14" s="50">
        <v>15</v>
      </c>
      <c r="D14" s="22"/>
      <c r="E14" s="22"/>
      <c r="F14" s="22"/>
      <c r="H14" s="34"/>
      <c r="I14" s="34"/>
      <c r="J14" s="35"/>
      <c r="K14" s="36"/>
      <c r="L14" s="37"/>
      <c r="M14" s="38"/>
      <c r="N14" s="39">
        <f t="shared" si="0"/>
        <v>0</v>
      </c>
      <c r="O14" s="40">
        <f t="shared" si="1"/>
        <v>0</v>
      </c>
      <c r="P14" s="34"/>
      <c r="Q14" s="49"/>
    </row>
    <row r="15" spans="1:17" x14ac:dyDescent="0.55000000000000004">
      <c r="A15" s="22" t="s">
        <v>103</v>
      </c>
      <c r="B15" s="22"/>
      <c r="C15" s="107">
        <f>+C13*C14</f>
        <v>360</v>
      </c>
      <c r="D15" s="22"/>
      <c r="E15" s="22" t="s">
        <v>77</v>
      </c>
      <c r="F15" s="22"/>
      <c r="H15" s="34"/>
      <c r="I15" s="34"/>
      <c r="J15" s="53"/>
      <c r="K15" s="54"/>
      <c r="L15" s="55"/>
      <c r="M15" s="56"/>
      <c r="N15" s="57">
        <f t="shared" si="0"/>
        <v>0</v>
      </c>
      <c r="O15" s="40">
        <f t="shared" si="1"/>
        <v>0</v>
      </c>
      <c r="P15" s="34"/>
      <c r="Q15" s="49"/>
    </row>
    <row r="16" spans="1:17" x14ac:dyDescent="0.55000000000000004">
      <c r="A16" s="22" t="s">
        <v>78</v>
      </c>
      <c r="B16" s="22"/>
      <c r="C16" s="45">
        <f>+C17*C18</f>
        <v>1265.625</v>
      </c>
      <c r="D16" s="34"/>
      <c r="E16" s="51"/>
      <c r="F16" s="34"/>
      <c r="H16" s="34"/>
      <c r="I16" s="34"/>
      <c r="J16" s="58"/>
      <c r="K16" s="36"/>
      <c r="L16" s="37"/>
      <c r="M16" s="38"/>
      <c r="N16" s="39"/>
      <c r="O16" s="40"/>
      <c r="P16" s="34"/>
      <c r="Q16" s="49"/>
    </row>
    <row r="17" spans="1:17" ht="23.25" thickBot="1" x14ac:dyDescent="0.9">
      <c r="A17" s="22" t="s">
        <v>79</v>
      </c>
      <c r="B17" s="22"/>
      <c r="C17" s="45">
        <f>+C15/12*C3/16*60</f>
        <v>1406.25</v>
      </c>
      <c r="D17" s="22"/>
      <c r="E17" s="52">
        <f>+C17/C2/60</f>
        <v>1.5</v>
      </c>
      <c r="F17" s="22"/>
      <c r="H17" s="22" t="s">
        <v>60</v>
      </c>
      <c r="I17" s="22"/>
      <c r="J17" s="60">
        <f>SUM(J3:J16)</f>
        <v>504.1</v>
      </c>
      <c r="K17" s="36"/>
      <c r="L17" s="61"/>
      <c r="M17" s="61"/>
      <c r="N17" s="62">
        <f>SUM(N3:N15)</f>
        <v>106.6</v>
      </c>
      <c r="O17" s="40">
        <f>N17/$C$27</f>
        <v>0.24337899543378994</v>
      </c>
      <c r="P17" s="22"/>
      <c r="Q17" s="63"/>
    </row>
    <row r="18" spans="1:17" ht="23.25" thickTop="1" x14ac:dyDescent="0.85">
      <c r="A18" s="22" t="s">
        <v>80</v>
      </c>
      <c r="B18" s="22"/>
      <c r="C18" s="46">
        <v>0.9</v>
      </c>
      <c r="D18" s="22"/>
      <c r="E18" s="52"/>
      <c r="F18" s="22" t="s">
        <v>59</v>
      </c>
      <c r="H18" s="22"/>
      <c r="I18" s="22"/>
      <c r="J18" s="63"/>
      <c r="K18" s="65"/>
      <c r="L18" s="61"/>
      <c r="M18" s="61"/>
      <c r="N18" s="66"/>
      <c r="O18" s="67"/>
      <c r="P18" s="22"/>
      <c r="Q18" s="63"/>
    </row>
    <row r="19" spans="1:17" ht="21" thickBot="1" x14ac:dyDescent="0.6">
      <c r="A19" s="22" t="s">
        <v>81</v>
      </c>
      <c r="B19" s="22"/>
      <c r="C19" s="45">
        <f>C17/C20</f>
        <v>140.625</v>
      </c>
      <c r="D19" s="22"/>
      <c r="E19" s="52"/>
      <c r="F19" s="22"/>
      <c r="H19" s="22"/>
      <c r="I19" s="22"/>
      <c r="J19" s="71" t="s">
        <v>62</v>
      </c>
      <c r="K19" s="71"/>
      <c r="L19" s="71" t="s">
        <v>63</v>
      </c>
      <c r="M19" s="71"/>
      <c r="N19" s="72" t="s">
        <v>64</v>
      </c>
      <c r="O19" s="22"/>
      <c r="P19" s="22"/>
      <c r="Q19" s="73"/>
    </row>
    <row r="20" spans="1:17" x14ac:dyDescent="0.55000000000000004">
      <c r="A20" s="22" t="s">
        <v>82</v>
      </c>
      <c r="B20" s="22"/>
      <c r="C20" s="47">
        <v>10</v>
      </c>
      <c r="D20" s="22"/>
      <c r="E20" s="52"/>
      <c r="F20" s="22"/>
      <c r="H20" s="22" t="s">
        <v>54</v>
      </c>
      <c r="I20" s="22"/>
      <c r="J20" s="74">
        <f>N20*$C$2</f>
        <v>3.8027968036529676</v>
      </c>
      <c r="K20" s="74"/>
      <c r="L20" s="75">
        <f>J20/$C$4</f>
        <v>0.19013984018264837</v>
      </c>
      <c r="M20" s="74"/>
      <c r="N20" s="76">
        <f>+N17/C27</f>
        <v>0.24337899543378994</v>
      </c>
      <c r="O20" s="22"/>
      <c r="P20" s="22"/>
      <c r="Q20" s="73"/>
    </row>
    <row r="21" spans="1:17" x14ac:dyDescent="0.55000000000000004">
      <c r="A21" s="22" t="s">
        <v>83</v>
      </c>
      <c r="B21" s="22"/>
      <c r="C21" s="59">
        <v>12</v>
      </c>
      <c r="D21" s="22"/>
      <c r="F21" s="22"/>
      <c r="H21" s="22"/>
      <c r="I21" s="22"/>
      <c r="J21" s="77"/>
      <c r="K21" s="77"/>
      <c r="L21" s="78"/>
      <c r="M21" s="77"/>
      <c r="N21" s="79"/>
      <c r="O21" s="22"/>
      <c r="P21" s="22"/>
      <c r="Q21" s="73"/>
    </row>
    <row r="22" spans="1:17" x14ac:dyDescent="0.55000000000000004">
      <c r="A22" s="22" t="s">
        <v>84</v>
      </c>
      <c r="B22" s="22"/>
      <c r="C22" s="64">
        <f>+C17/C2*C4/60</f>
        <v>30</v>
      </c>
      <c r="D22" s="22"/>
      <c r="E22" s="52"/>
      <c r="F22" s="22"/>
      <c r="H22" s="22" t="s">
        <v>65</v>
      </c>
      <c r="I22" s="22"/>
      <c r="J22" s="66">
        <f>+N22*C$2</f>
        <v>1.3333333333333333</v>
      </c>
      <c r="K22" s="61"/>
      <c r="L22" s="80">
        <f>+J22/C$4</f>
        <v>6.6666666666666666E-2</v>
      </c>
      <c r="M22" s="61"/>
      <c r="N22" s="81">
        <f>C21/C19</f>
        <v>8.533333333333333E-2</v>
      </c>
      <c r="O22" s="22"/>
      <c r="P22" s="30" t="s">
        <v>115</v>
      </c>
      <c r="Q22" s="30"/>
    </row>
    <row r="23" spans="1:17" x14ac:dyDescent="0.55000000000000004">
      <c r="A23" s="22" t="s">
        <v>104</v>
      </c>
      <c r="B23" s="22"/>
      <c r="C23" s="68">
        <f>C7/52</f>
        <v>28846.153846153848</v>
      </c>
      <c r="D23" s="22"/>
      <c r="E23" s="52"/>
      <c r="F23" s="22"/>
      <c r="H23" s="22" t="s">
        <v>48</v>
      </c>
      <c r="I23" s="22"/>
      <c r="J23" s="66">
        <f>+N23*C$2</f>
        <v>0.74323104693140796</v>
      </c>
      <c r="K23" s="61"/>
      <c r="L23" s="80">
        <f>+J23/C$4</f>
        <v>3.7161552346570398E-2</v>
      </c>
      <c r="M23" s="61"/>
      <c r="N23" s="81">
        <f>+P23/C$17</f>
        <v>4.7566787003610111E-2</v>
      </c>
      <c r="O23" s="22"/>
      <c r="P23" s="82">
        <f>+'Indirect Labor'!I9</f>
        <v>66.890794223826717</v>
      </c>
      <c r="Q23" s="22" t="s">
        <v>126</v>
      </c>
    </row>
    <row r="24" spans="1:17" x14ac:dyDescent="0.55000000000000004">
      <c r="H24" s="22" t="s">
        <v>66</v>
      </c>
      <c r="I24" s="22"/>
      <c r="J24" s="66">
        <f>+N24*C$2</f>
        <v>0.70667870036101077</v>
      </c>
      <c r="K24" s="61"/>
      <c r="L24" s="80">
        <f>+J24/C$4</f>
        <v>3.5333935018050537E-2</v>
      </c>
      <c r="M24" s="61"/>
      <c r="N24" s="81">
        <f>+P24/C$17</f>
        <v>4.5227436823104691E-2</v>
      </c>
      <c r="O24" s="83"/>
      <c r="P24" s="82">
        <f>+'Variable Cost'!I11</f>
        <v>63.601083032490969</v>
      </c>
      <c r="Q24" s="22" t="s">
        <v>124</v>
      </c>
    </row>
    <row r="25" spans="1:17" x14ac:dyDescent="0.55000000000000004">
      <c r="H25" s="22" t="s">
        <v>67</v>
      </c>
      <c r="I25" s="22"/>
      <c r="J25" s="66">
        <f>+N25*C$2</f>
        <v>2.6458245725393739</v>
      </c>
      <c r="K25" s="61"/>
      <c r="L25" s="80">
        <f>+J25/C$4</f>
        <v>0.13229122862696868</v>
      </c>
      <c r="M25" s="61"/>
      <c r="N25" s="81">
        <f>+P25/C$17</f>
        <v>0.16933277264251992</v>
      </c>
      <c r="O25" s="22"/>
      <c r="P25" s="82">
        <f>+'Fixed Cost'!O15</f>
        <v>238.12421152854364</v>
      </c>
      <c r="Q25" s="22" t="s">
        <v>125</v>
      </c>
    </row>
    <row r="26" spans="1:17" x14ac:dyDescent="0.55000000000000004">
      <c r="A26" s="22" t="s">
        <v>61</v>
      </c>
      <c r="B26" s="22"/>
      <c r="C26" s="69">
        <v>0.04</v>
      </c>
      <c r="D26" s="65"/>
      <c r="H26" s="84" t="s">
        <v>68</v>
      </c>
      <c r="I26" s="22"/>
      <c r="J26" s="85">
        <f>SUM(J22:J25)</f>
        <v>5.4290676531651254</v>
      </c>
      <c r="K26" s="86"/>
      <c r="L26" s="87">
        <f>SUM(L22:L25)</f>
        <v>0.27145338265825625</v>
      </c>
      <c r="M26" s="86"/>
      <c r="N26" s="88">
        <f>SUM(N22:N25)</f>
        <v>0.34746032980256802</v>
      </c>
      <c r="O26" s="22"/>
      <c r="P26" s="22"/>
      <c r="Q26" s="22"/>
    </row>
    <row r="27" spans="1:17" x14ac:dyDescent="0.55000000000000004">
      <c r="A27" s="22" t="s">
        <v>120</v>
      </c>
      <c r="B27" s="22"/>
      <c r="C27" s="63">
        <f>+C29*(J3)</f>
        <v>438</v>
      </c>
      <c r="D27" s="63"/>
      <c r="H27" s="22" t="s">
        <v>69</v>
      </c>
      <c r="I27" s="104" t="s">
        <v>70</v>
      </c>
      <c r="J27" s="66"/>
      <c r="K27" s="61"/>
      <c r="L27" s="80"/>
      <c r="M27" s="61"/>
      <c r="N27" s="81"/>
      <c r="O27" s="22"/>
      <c r="P27" s="22"/>
      <c r="Q27" s="22"/>
    </row>
    <row r="28" spans="1:17" x14ac:dyDescent="0.55000000000000004">
      <c r="A28" s="22" t="s">
        <v>92</v>
      </c>
      <c r="B28" s="22"/>
      <c r="C28" s="70">
        <v>1.5</v>
      </c>
      <c r="D28" s="63"/>
      <c r="H28" s="105" t="s">
        <v>106</v>
      </c>
      <c r="I28" s="34">
        <v>1</v>
      </c>
      <c r="J28" s="59">
        <v>0.75</v>
      </c>
      <c r="K28" s="39"/>
      <c r="L28" s="89">
        <f>+J28/C4</f>
        <v>3.7499999999999999E-2</v>
      </c>
      <c r="M28" s="39"/>
      <c r="N28" s="40">
        <f>+J28/C2</f>
        <v>4.8000000000000001E-2</v>
      </c>
      <c r="O28" s="22"/>
      <c r="P28" s="22"/>
      <c r="Q28" s="22"/>
    </row>
    <row r="29" spans="1:17" x14ac:dyDescent="0.55000000000000004">
      <c r="A29" s="22" t="s">
        <v>121</v>
      </c>
      <c r="B29" s="22"/>
      <c r="C29" s="108">
        <f>+C28-C26</f>
        <v>1.46</v>
      </c>
      <c r="D29" s="22"/>
      <c r="H29" s="105" t="s">
        <v>107</v>
      </c>
      <c r="I29" s="34">
        <f>+C4</f>
        <v>20</v>
      </c>
      <c r="J29" s="39">
        <f>L29*C4</f>
        <v>1.6</v>
      </c>
      <c r="K29" s="39"/>
      <c r="L29" s="90">
        <v>0.08</v>
      </c>
      <c r="M29" s="39"/>
      <c r="N29" s="40">
        <f>+(L29*C4)/C2</f>
        <v>0.1024</v>
      </c>
      <c r="O29" s="22"/>
      <c r="P29" s="22"/>
      <c r="Q29" s="22"/>
    </row>
    <row r="30" spans="1:17" x14ac:dyDescent="0.55000000000000004">
      <c r="H30" s="91" t="s">
        <v>71</v>
      </c>
      <c r="I30" s="34"/>
      <c r="J30" s="92">
        <f>SUM(J28:J29)</f>
        <v>2.35</v>
      </c>
      <c r="K30" s="93"/>
      <c r="L30" s="94">
        <f>SUM(L28:L29)</f>
        <v>0.11749999999999999</v>
      </c>
      <c r="M30" s="93"/>
      <c r="N30" s="95">
        <f>SUM(N28:N29)</f>
        <v>0.15040000000000001</v>
      </c>
      <c r="O30" s="22"/>
      <c r="P30" s="22"/>
      <c r="Q30" s="22"/>
    </row>
    <row r="31" spans="1:17" x14ac:dyDescent="0.55000000000000004">
      <c r="H31" s="34"/>
      <c r="I31" s="34"/>
      <c r="J31" s="39"/>
      <c r="K31" s="38"/>
      <c r="L31" s="89"/>
      <c r="M31" s="38"/>
      <c r="N31" s="40"/>
      <c r="O31" s="22"/>
      <c r="P31" s="22" t="s">
        <v>105</v>
      </c>
      <c r="Q31" s="22"/>
    </row>
    <row r="32" spans="1:17" x14ac:dyDescent="0.55000000000000004">
      <c r="H32" s="96" t="s">
        <v>72</v>
      </c>
      <c r="I32" s="22"/>
      <c r="J32" s="85">
        <f>J20+J26+J30</f>
        <v>11.581864456818092</v>
      </c>
      <c r="K32" s="86"/>
      <c r="L32" s="87">
        <f>L20+L26+L30</f>
        <v>0.5790932228409047</v>
      </c>
      <c r="M32" s="86"/>
      <c r="N32" s="88">
        <f>N20+N26+N30</f>
        <v>0.74123932523635794</v>
      </c>
      <c r="O32" s="22"/>
      <c r="P32" s="81">
        <f>+L32/C5</f>
        <v>4.8257768570075389E-2</v>
      </c>
      <c r="Q32" s="22"/>
    </row>
    <row r="33" spans="8:17" x14ac:dyDescent="0.55000000000000004">
      <c r="H33" s="96"/>
      <c r="I33" s="22"/>
      <c r="J33" s="97"/>
      <c r="K33" s="98"/>
      <c r="L33" s="99"/>
      <c r="M33" s="98"/>
      <c r="N33" s="100"/>
      <c r="O33" s="22"/>
      <c r="P33" s="81"/>
      <c r="Q33" s="22"/>
    </row>
    <row r="47" spans="8:17" x14ac:dyDescent="0.55000000000000004">
      <c r="H47" s="22"/>
      <c r="I47" s="22"/>
      <c r="J47" s="22"/>
      <c r="K47" s="102"/>
    </row>
    <row r="48" spans="8:17" x14ac:dyDescent="0.55000000000000004">
      <c r="H48" s="22"/>
      <c r="I48" s="22"/>
      <c r="J48" s="22"/>
      <c r="K48" s="22"/>
    </row>
    <row r="49" spans="2:26" x14ac:dyDescent="0.55000000000000004">
      <c r="I49" s="22"/>
      <c r="J49" s="22"/>
      <c r="K49" s="22"/>
    </row>
    <row r="50" spans="2:26" x14ac:dyDescent="0.55000000000000004">
      <c r="H50" s="34"/>
      <c r="I50" s="34"/>
      <c r="J50" s="34"/>
      <c r="K50" s="22"/>
    </row>
    <row r="51" spans="2:26" x14ac:dyDescent="0.55000000000000004">
      <c r="H51" s="34"/>
      <c r="I51" s="34"/>
      <c r="J51" s="34"/>
      <c r="K51" s="22"/>
    </row>
    <row r="52" spans="2:26" x14ac:dyDescent="0.55000000000000004">
      <c r="H52" s="22"/>
      <c r="I52" s="22"/>
      <c r="J52" s="22"/>
      <c r="K52" s="103">
        <v>36</v>
      </c>
    </row>
    <row r="53" spans="2:26" x14ac:dyDescent="0.55000000000000004">
      <c r="H53" s="22"/>
      <c r="I53" s="22"/>
      <c r="J53" s="22"/>
      <c r="K53" s="103">
        <v>24</v>
      </c>
    </row>
    <row r="54" spans="2:26" x14ac:dyDescent="0.55000000000000004">
      <c r="H54" s="34"/>
      <c r="I54" s="34"/>
      <c r="J54" s="22"/>
      <c r="K54" s="103">
        <v>25</v>
      </c>
    </row>
    <row r="55" spans="2:26" x14ac:dyDescent="0.55000000000000004">
      <c r="H55" s="34"/>
      <c r="I55" s="34"/>
      <c r="J55" s="22"/>
      <c r="K55" s="103">
        <v>26</v>
      </c>
    </row>
    <row r="56" spans="2:26" x14ac:dyDescent="0.55000000000000004">
      <c r="I56" s="22"/>
      <c r="J56" s="22"/>
      <c r="K56" s="103">
        <v>27</v>
      </c>
    </row>
    <row r="57" spans="2:26" x14ac:dyDescent="0.55000000000000004">
      <c r="H57" s="22"/>
      <c r="I57" s="22"/>
      <c r="J57" s="22"/>
      <c r="K57" s="103">
        <v>28</v>
      </c>
    </row>
    <row r="58" spans="2:26" x14ac:dyDescent="0.55000000000000004">
      <c r="H58" s="22"/>
      <c r="I58" s="22"/>
      <c r="J58" s="22"/>
      <c r="K58" s="103">
        <v>29</v>
      </c>
    </row>
    <row r="59" spans="2:26" x14ac:dyDescent="0.55000000000000004">
      <c r="I59" s="22"/>
      <c r="J59" s="22"/>
      <c r="K59" s="103">
        <v>30</v>
      </c>
    </row>
    <row r="60" spans="2:26" x14ac:dyDescent="0.55000000000000004">
      <c r="H60" s="22"/>
      <c r="I60" s="22"/>
      <c r="J60" s="22"/>
      <c r="K60" s="103">
        <v>31</v>
      </c>
    </row>
    <row r="61" spans="2:26" x14ac:dyDescent="0.55000000000000004">
      <c r="H61" s="22"/>
      <c r="I61" s="22"/>
      <c r="J61" s="22"/>
      <c r="K61" s="103">
        <v>32</v>
      </c>
    </row>
    <row r="62" spans="2:26" x14ac:dyDescent="0.55000000000000004">
      <c r="H62" s="22"/>
      <c r="I62" s="22"/>
      <c r="J62" s="22"/>
      <c r="K62" s="103">
        <v>33</v>
      </c>
    </row>
    <row r="63" spans="2:26" x14ac:dyDescent="0.55000000000000004">
      <c r="B63" s="22"/>
      <c r="C63" s="22"/>
      <c r="D63" s="52"/>
      <c r="E63" s="22"/>
      <c r="F63" s="52"/>
      <c r="G63" s="22"/>
      <c r="H63" s="22"/>
      <c r="I63" s="22"/>
      <c r="J63" s="22"/>
      <c r="K63" s="103">
        <v>34</v>
      </c>
    </row>
    <row r="64" spans="2:26" x14ac:dyDescent="0.55000000000000004">
      <c r="B64" s="22"/>
      <c r="C64" s="22"/>
      <c r="D64" s="22"/>
      <c r="E64" s="22"/>
      <c r="F64" s="52"/>
      <c r="G64" s="22"/>
      <c r="H64" s="22"/>
      <c r="I64" s="22"/>
      <c r="J64" s="22"/>
      <c r="K64" s="103">
        <v>35</v>
      </c>
      <c r="W64" s="22"/>
      <c r="X64" s="22"/>
      <c r="Y64" s="22"/>
      <c r="Z64" s="22"/>
    </row>
    <row r="65" spans="2:26" x14ac:dyDescent="0.55000000000000004">
      <c r="B65" s="22"/>
      <c r="C65" s="22"/>
      <c r="D65" s="22"/>
      <c r="E65" s="22"/>
      <c r="F65" s="52"/>
      <c r="G65" s="22"/>
      <c r="H65" s="22"/>
      <c r="I65" s="22"/>
      <c r="J65" s="22"/>
      <c r="W65" s="22"/>
      <c r="X65" s="22"/>
      <c r="Y65" s="22"/>
      <c r="Z65" s="101"/>
    </row>
  </sheetData>
  <pageMargins left="0.7" right="0.7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65"/>
  <sheetViews>
    <sheetView showGridLines="0" zoomScale="50" zoomScaleNormal="50" workbookViewId="0">
      <selection sqref="A1:T33"/>
    </sheetView>
  </sheetViews>
  <sheetFormatPr defaultColWidth="9.1328125" defaultRowHeight="20.65" x14ac:dyDescent="0.55000000000000004"/>
  <cols>
    <col min="1" max="1" width="9.1328125" style="26"/>
    <col min="2" max="2" width="21.73046875" style="26" customWidth="1"/>
    <col min="3" max="3" width="18.1328125" style="26" customWidth="1"/>
    <col min="4" max="4" width="14.86328125" style="26" bestFit="1" customWidth="1"/>
    <col min="5" max="5" width="9.3984375" style="26" bestFit="1" customWidth="1"/>
    <col min="6" max="6" width="10" style="26" bestFit="1" customWidth="1"/>
    <col min="7" max="7" width="9.1328125" style="26"/>
    <col min="8" max="8" width="18.59765625" style="26" customWidth="1"/>
    <col min="9" max="9" width="11.265625" style="26" bestFit="1" customWidth="1"/>
    <col min="10" max="10" width="11.1328125" style="26" bestFit="1" customWidth="1"/>
    <col min="11" max="11" width="9.265625" style="26" bestFit="1" customWidth="1"/>
    <col min="12" max="12" width="11.73046875" style="26" customWidth="1"/>
    <col min="13" max="13" width="6.265625" style="26" customWidth="1"/>
    <col min="14" max="14" width="13.265625" style="26" bestFit="1" customWidth="1"/>
    <col min="15" max="15" width="18.73046875" style="26" customWidth="1"/>
    <col min="16" max="16" width="13.3984375" style="26" customWidth="1"/>
    <col min="17" max="17" width="9.265625" style="26" bestFit="1" customWidth="1"/>
    <col min="18" max="16384" width="9.1328125" style="26"/>
  </cols>
  <sheetData>
    <row r="1" spans="1:17" x14ac:dyDescent="0.55000000000000004">
      <c r="B1" s="21" t="s">
        <v>50</v>
      </c>
      <c r="C1" s="83" t="s">
        <v>112</v>
      </c>
      <c r="D1" s="22"/>
      <c r="E1" s="22"/>
      <c r="F1" s="23"/>
      <c r="G1" s="24"/>
      <c r="H1" s="24"/>
      <c r="I1" s="24"/>
      <c r="J1" s="25"/>
      <c r="K1" s="22"/>
    </row>
    <row r="2" spans="1:17" x14ac:dyDescent="0.55000000000000004">
      <c r="B2" s="21" t="s">
        <v>51</v>
      </c>
      <c r="C2" s="27">
        <f>+(C4*C5)/12*C3/16</f>
        <v>25</v>
      </c>
      <c r="D2" s="22"/>
      <c r="E2" s="22"/>
      <c r="F2" s="28"/>
      <c r="G2" s="28"/>
      <c r="H2" s="29" t="s">
        <v>54</v>
      </c>
      <c r="I2" s="29"/>
      <c r="J2" s="30" t="s">
        <v>55</v>
      </c>
      <c r="K2" s="30" t="s">
        <v>56</v>
      </c>
      <c r="L2" s="30" t="s">
        <v>57</v>
      </c>
      <c r="M2" s="30"/>
      <c r="N2" s="31" t="s">
        <v>58</v>
      </c>
      <c r="O2" s="32" t="s">
        <v>114</v>
      </c>
      <c r="P2" s="21"/>
      <c r="Q2" s="21"/>
    </row>
    <row r="3" spans="1:17" x14ac:dyDescent="0.55000000000000004">
      <c r="B3" s="21" t="s">
        <v>52</v>
      </c>
      <c r="C3" s="106">
        <v>30</v>
      </c>
      <c r="D3" s="22"/>
      <c r="E3" s="22"/>
      <c r="F3" s="25"/>
      <c r="G3" s="25"/>
      <c r="H3" s="34" t="s">
        <v>86</v>
      </c>
      <c r="I3" s="34"/>
      <c r="J3" s="35">
        <v>300</v>
      </c>
      <c r="K3" s="36">
        <f>+J3/J3</f>
        <v>1</v>
      </c>
      <c r="L3" s="37">
        <v>0.18</v>
      </c>
      <c r="M3" s="38"/>
      <c r="N3" s="39">
        <f t="shared" ref="N3:N15" si="0">+L3*J3</f>
        <v>54</v>
      </c>
      <c r="O3" s="40">
        <f t="shared" ref="O3:O15" si="1">N3/$C$27</f>
        <v>0.12328767123287671</v>
      </c>
      <c r="P3" s="41"/>
      <c r="Q3" s="34"/>
    </row>
    <row r="4" spans="1:17" x14ac:dyDescent="0.55000000000000004">
      <c r="B4" s="21" t="s">
        <v>53</v>
      </c>
      <c r="C4" s="83">
        <v>16</v>
      </c>
      <c r="D4" s="21"/>
      <c r="E4" s="22"/>
      <c r="F4" s="22"/>
      <c r="G4" s="22"/>
      <c r="H4" s="34"/>
      <c r="I4" s="34"/>
      <c r="J4" s="35"/>
      <c r="K4" s="36"/>
      <c r="L4" s="37"/>
      <c r="M4" s="38"/>
      <c r="N4" s="39">
        <f>+L4*J4</f>
        <v>0</v>
      </c>
      <c r="O4" s="40">
        <f t="shared" si="1"/>
        <v>0</v>
      </c>
      <c r="P4" s="34"/>
      <c r="Q4" s="34"/>
    </row>
    <row r="5" spans="1:17" x14ac:dyDescent="0.55000000000000004">
      <c r="B5" s="21" t="s">
        <v>85</v>
      </c>
      <c r="C5" s="83">
        <v>10</v>
      </c>
      <c r="D5" s="22"/>
      <c r="E5" s="22"/>
      <c r="F5" s="22"/>
      <c r="G5" s="22"/>
      <c r="H5" s="34"/>
      <c r="I5" s="34"/>
      <c r="J5" s="35"/>
      <c r="K5" s="36"/>
      <c r="L5" s="37"/>
      <c r="M5" s="38"/>
      <c r="N5" s="39">
        <f t="shared" si="0"/>
        <v>0</v>
      </c>
      <c r="O5" s="40">
        <f t="shared" si="1"/>
        <v>0</v>
      </c>
      <c r="P5" s="44"/>
      <c r="Q5" s="45"/>
    </row>
    <row r="6" spans="1:17" x14ac:dyDescent="0.55000000000000004">
      <c r="H6" s="34" t="s">
        <v>87</v>
      </c>
      <c r="I6" s="34"/>
      <c r="J6" s="35">
        <v>150</v>
      </c>
      <c r="K6" s="36">
        <f>+J6/J$3</f>
        <v>0.5</v>
      </c>
      <c r="L6" s="37">
        <v>0</v>
      </c>
      <c r="M6" s="38"/>
      <c r="N6" s="39">
        <f t="shared" si="0"/>
        <v>0</v>
      </c>
      <c r="O6" s="40">
        <f t="shared" si="1"/>
        <v>0</v>
      </c>
      <c r="P6" s="41"/>
      <c r="Q6" s="34"/>
    </row>
    <row r="7" spans="1:17" x14ac:dyDescent="0.55000000000000004">
      <c r="A7" s="22" t="s">
        <v>8</v>
      </c>
      <c r="B7" s="22"/>
      <c r="C7" s="33">
        <f>+'Base '!D16</f>
        <v>1500000</v>
      </c>
      <c r="D7" s="22"/>
      <c r="E7" s="22"/>
      <c r="F7" s="22"/>
      <c r="H7" s="46" t="s">
        <v>88</v>
      </c>
      <c r="I7" s="34"/>
      <c r="J7" s="35">
        <v>30</v>
      </c>
      <c r="K7" s="36">
        <f>+J7/J$3</f>
        <v>0.1</v>
      </c>
      <c r="L7" s="37">
        <v>0.55000000000000004</v>
      </c>
      <c r="M7" s="38"/>
      <c r="N7" s="39">
        <f t="shared" si="0"/>
        <v>16.5</v>
      </c>
      <c r="O7" s="40">
        <f t="shared" si="1"/>
        <v>3.7671232876712327E-2</v>
      </c>
      <c r="P7" s="34"/>
      <c r="Q7" s="34"/>
    </row>
    <row r="8" spans="1:17" x14ac:dyDescent="0.55000000000000004">
      <c r="A8" s="22" t="s">
        <v>73</v>
      </c>
      <c r="B8" s="22"/>
      <c r="C8" s="42">
        <v>52</v>
      </c>
      <c r="D8" s="22"/>
      <c r="E8" s="22"/>
      <c r="F8" s="22"/>
      <c r="H8" s="34" t="s">
        <v>89</v>
      </c>
      <c r="I8" s="34"/>
      <c r="J8" s="35">
        <v>24</v>
      </c>
      <c r="K8" s="36">
        <f>+J8/J$3</f>
        <v>0.08</v>
      </c>
      <c r="L8" s="37">
        <v>1.5</v>
      </c>
      <c r="M8" s="38"/>
      <c r="N8" s="39">
        <f t="shared" si="0"/>
        <v>36</v>
      </c>
      <c r="O8" s="40">
        <f t="shared" si="1"/>
        <v>8.2191780821917804E-2</v>
      </c>
      <c r="P8" s="34"/>
      <c r="Q8" s="34"/>
    </row>
    <row r="9" spans="1:17" x14ac:dyDescent="0.55000000000000004">
      <c r="A9" s="22" t="s">
        <v>74</v>
      </c>
      <c r="B9" s="22"/>
      <c r="C9" s="43">
        <f>C7/C8</f>
        <v>28846.153846153848</v>
      </c>
      <c r="D9" s="22"/>
      <c r="E9" s="34"/>
      <c r="F9" s="22"/>
      <c r="H9" s="34" t="s">
        <v>91</v>
      </c>
      <c r="I9" s="34"/>
      <c r="J9" s="35">
        <v>0.1</v>
      </c>
      <c r="K9" s="36">
        <f>+J9/J$3</f>
        <v>3.3333333333333338E-4</v>
      </c>
      <c r="L9" s="37">
        <v>1</v>
      </c>
      <c r="M9" s="38"/>
      <c r="N9" s="39">
        <f t="shared" si="0"/>
        <v>0.1</v>
      </c>
      <c r="O9" s="40">
        <f t="shared" si="1"/>
        <v>2.2831050228310504E-4</v>
      </c>
      <c r="P9" s="34"/>
      <c r="Q9" s="49"/>
    </row>
    <row r="10" spans="1:17" x14ac:dyDescent="0.55000000000000004">
      <c r="A10" s="22" t="s">
        <v>75</v>
      </c>
      <c r="B10" s="22"/>
      <c r="C10" s="43">
        <f>C7/C16</f>
        <v>740.74074074074076</v>
      </c>
      <c r="D10" s="22"/>
      <c r="E10" s="22"/>
      <c r="F10" s="22"/>
      <c r="H10" s="34" t="s">
        <v>90</v>
      </c>
      <c r="I10" s="34"/>
      <c r="J10" s="35"/>
      <c r="K10" s="36">
        <f>+J10/J$3</f>
        <v>0</v>
      </c>
      <c r="L10" s="37"/>
      <c r="M10" s="38"/>
      <c r="N10" s="39">
        <f t="shared" si="0"/>
        <v>0</v>
      </c>
      <c r="O10" s="40">
        <f t="shared" si="1"/>
        <v>0</v>
      </c>
      <c r="P10" s="34"/>
      <c r="Q10" s="49"/>
    </row>
    <row r="11" spans="1:17" x14ac:dyDescent="0.55000000000000004">
      <c r="A11" s="22" t="s">
        <v>76</v>
      </c>
      <c r="B11" s="22"/>
      <c r="C11" s="43">
        <f>+C7/C17</f>
        <v>666.66666666666663</v>
      </c>
      <c r="D11" s="22"/>
      <c r="E11" s="22"/>
      <c r="F11" s="22"/>
      <c r="H11" s="46"/>
      <c r="I11" s="34"/>
      <c r="J11" s="35"/>
      <c r="K11" s="36"/>
      <c r="L11" s="37"/>
      <c r="M11" s="38"/>
      <c r="N11" s="39">
        <f t="shared" si="0"/>
        <v>0</v>
      </c>
      <c r="O11" s="40">
        <f t="shared" si="1"/>
        <v>0</v>
      </c>
      <c r="P11" s="34"/>
      <c r="Q11" s="49"/>
    </row>
    <row r="12" spans="1:17" x14ac:dyDescent="0.55000000000000004">
      <c r="A12" s="34" t="s">
        <v>100</v>
      </c>
      <c r="B12" s="34"/>
      <c r="C12" s="45">
        <f>+C11/C8</f>
        <v>12.820512820512819</v>
      </c>
      <c r="D12" s="34"/>
      <c r="E12" s="34"/>
      <c r="F12" s="34"/>
      <c r="H12" s="46"/>
      <c r="I12" s="34"/>
      <c r="J12" s="35"/>
      <c r="K12" s="36"/>
      <c r="L12" s="37"/>
      <c r="M12" s="38"/>
      <c r="N12" s="39">
        <f t="shared" si="0"/>
        <v>0</v>
      </c>
      <c r="O12" s="40">
        <f t="shared" si="1"/>
        <v>0</v>
      </c>
      <c r="P12" s="34"/>
      <c r="Q12" s="49"/>
    </row>
    <row r="13" spans="1:17" x14ac:dyDescent="0.55000000000000004">
      <c r="A13" s="48" t="s">
        <v>101</v>
      </c>
      <c r="B13" s="34"/>
      <c r="C13" s="47">
        <v>16</v>
      </c>
      <c r="D13" s="34"/>
      <c r="E13" s="34"/>
      <c r="F13" s="34"/>
      <c r="H13" s="34"/>
      <c r="I13" s="34"/>
      <c r="J13" s="35"/>
      <c r="K13" s="36"/>
      <c r="L13" s="37"/>
      <c r="M13" s="38"/>
      <c r="N13" s="39">
        <f>+L13*I13</f>
        <v>0</v>
      </c>
      <c r="O13" s="40">
        <f t="shared" si="1"/>
        <v>0</v>
      </c>
      <c r="P13" s="34"/>
      <c r="Q13" s="49"/>
    </row>
    <row r="14" spans="1:17" x14ac:dyDescent="0.55000000000000004">
      <c r="A14" s="48" t="s">
        <v>102</v>
      </c>
      <c r="B14" s="22"/>
      <c r="C14" s="50">
        <v>15</v>
      </c>
      <c r="D14" s="22"/>
      <c r="E14" s="22"/>
      <c r="F14" s="22"/>
      <c r="H14" s="34"/>
      <c r="I14" s="34"/>
      <c r="J14" s="35"/>
      <c r="K14" s="36"/>
      <c r="L14" s="37"/>
      <c r="M14" s="38"/>
      <c r="N14" s="39">
        <f t="shared" si="0"/>
        <v>0</v>
      </c>
      <c r="O14" s="40">
        <f t="shared" si="1"/>
        <v>0</v>
      </c>
      <c r="P14" s="34"/>
      <c r="Q14" s="49"/>
    </row>
    <row r="15" spans="1:17" x14ac:dyDescent="0.55000000000000004">
      <c r="A15" s="22" t="s">
        <v>103</v>
      </c>
      <c r="B15" s="22"/>
      <c r="C15" s="107">
        <f>+C13*C14</f>
        <v>240</v>
      </c>
      <c r="D15" s="22"/>
      <c r="E15" s="22" t="s">
        <v>77</v>
      </c>
      <c r="F15" s="22"/>
      <c r="H15" s="34"/>
      <c r="I15" s="34"/>
      <c r="J15" s="53"/>
      <c r="K15" s="54"/>
      <c r="L15" s="55"/>
      <c r="M15" s="56"/>
      <c r="N15" s="57">
        <f t="shared" si="0"/>
        <v>0</v>
      </c>
      <c r="O15" s="40">
        <f t="shared" si="1"/>
        <v>0</v>
      </c>
      <c r="P15" s="34"/>
      <c r="Q15" s="49"/>
    </row>
    <row r="16" spans="1:17" x14ac:dyDescent="0.55000000000000004">
      <c r="A16" s="22" t="s">
        <v>78</v>
      </c>
      <c r="B16" s="22"/>
      <c r="C16" s="45">
        <f>+C17*C18</f>
        <v>2025</v>
      </c>
      <c r="D16" s="34"/>
      <c r="E16" s="51"/>
      <c r="F16" s="34"/>
      <c r="H16" s="34"/>
      <c r="I16" s="34"/>
      <c r="J16" s="58"/>
      <c r="K16" s="36"/>
      <c r="L16" s="37"/>
      <c r="M16" s="38"/>
      <c r="N16" s="39"/>
      <c r="O16" s="40"/>
      <c r="P16" s="34"/>
      <c r="Q16" s="49"/>
    </row>
    <row r="17" spans="1:17" ht="23.25" thickBot="1" x14ac:dyDescent="0.9">
      <c r="A17" s="22" t="s">
        <v>79</v>
      </c>
      <c r="B17" s="22"/>
      <c r="C17" s="45">
        <f>+C15/12*C3/16*60</f>
        <v>2250</v>
      </c>
      <c r="D17" s="22"/>
      <c r="E17" s="52">
        <f>+C17/C2/60</f>
        <v>1.5</v>
      </c>
      <c r="F17" s="22"/>
      <c r="H17" s="22" t="s">
        <v>60</v>
      </c>
      <c r="I17" s="22"/>
      <c r="J17" s="60">
        <f>SUM(J3:J16)</f>
        <v>504.1</v>
      </c>
      <c r="K17" s="36"/>
      <c r="L17" s="61"/>
      <c r="M17" s="61"/>
      <c r="N17" s="62">
        <f>SUM(N3:N15)</f>
        <v>106.6</v>
      </c>
      <c r="O17" s="40">
        <f>N17/$C$27</f>
        <v>0.24337899543378994</v>
      </c>
      <c r="P17" s="22"/>
      <c r="Q17" s="63"/>
    </row>
    <row r="18" spans="1:17" ht="23.25" thickTop="1" x14ac:dyDescent="0.85">
      <c r="A18" s="22" t="s">
        <v>80</v>
      </c>
      <c r="B18" s="22"/>
      <c r="C18" s="46">
        <v>0.9</v>
      </c>
      <c r="D18" s="22"/>
      <c r="E18" s="52"/>
      <c r="F18" s="22" t="s">
        <v>59</v>
      </c>
      <c r="H18" s="22"/>
      <c r="I18" s="22"/>
      <c r="J18" s="63"/>
      <c r="K18" s="65"/>
      <c r="L18" s="61"/>
      <c r="M18" s="61"/>
      <c r="N18" s="66"/>
      <c r="O18" s="67"/>
      <c r="P18" s="22"/>
      <c r="Q18" s="63"/>
    </row>
    <row r="19" spans="1:17" ht="21" thickBot="1" x14ac:dyDescent="0.6">
      <c r="A19" s="22" t="s">
        <v>81</v>
      </c>
      <c r="B19" s="22"/>
      <c r="C19" s="45">
        <f>C17/C20</f>
        <v>225</v>
      </c>
      <c r="D19" s="22"/>
      <c r="E19" s="52"/>
      <c r="F19" s="22"/>
      <c r="H19" s="22"/>
      <c r="I19" s="22"/>
      <c r="J19" s="71" t="s">
        <v>62</v>
      </c>
      <c r="K19" s="71"/>
      <c r="L19" s="71" t="s">
        <v>63</v>
      </c>
      <c r="M19" s="71"/>
      <c r="N19" s="72" t="s">
        <v>64</v>
      </c>
      <c r="O19" s="22"/>
      <c r="P19" s="22"/>
      <c r="Q19" s="73"/>
    </row>
    <row r="20" spans="1:17" x14ac:dyDescent="0.55000000000000004">
      <c r="A20" s="22" t="s">
        <v>82</v>
      </c>
      <c r="B20" s="22"/>
      <c r="C20" s="47">
        <v>10</v>
      </c>
      <c r="D20" s="22"/>
      <c r="E20" s="52"/>
      <c r="F20" s="22"/>
      <c r="H20" s="22" t="s">
        <v>54</v>
      </c>
      <c r="I20" s="22"/>
      <c r="J20" s="74">
        <f>N20*$C$2</f>
        <v>6.0844748858447488</v>
      </c>
      <c r="K20" s="74"/>
      <c r="L20" s="75">
        <f>J20/$C$4</f>
        <v>0.3802796803652968</v>
      </c>
      <c r="M20" s="74"/>
      <c r="N20" s="76">
        <f>+N17/C27</f>
        <v>0.24337899543378994</v>
      </c>
      <c r="O20" s="22"/>
      <c r="P20" s="22"/>
      <c r="Q20" s="73"/>
    </row>
    <row r="21" spans="1:17" x14ac:dyDescent="0.55000000000000004">
      <c r="A21" s="22" t="s">
        <v>83</v>
      </c>
      <c r="B21" s="22"/>
      <c r="C21" s="59">
        <v>12</v>
      </c>
      <c r="D21" s="22"/>
      <c r="F21" s="22"/>
      <c r="H21" s="22"/>
      <c r="I21" s="22"/>
      <c r="J21" s="77"/>
      <c r="K21" s="77"/>
      <c r="L21" s="78"/>
      <c r="M21" s="77"/>
      <c r="N21" s="79"/>
      <c r="O21" s="22"/>
      <c r="P21" s="22"/>
      <c r="Q21" s="73"/>
    </row>
    <row r="22" spans="1:17" x14ac:dyDescent="0.55000000000000004">
      <c r="A22" s="22" t="s">
        <v>84</v>
      </c>
      <c r="B22" s="22"/>
      <c r="C22" s="64">
        <f>+C17/C2*C4/60</f>
        <v>24</v>
      </c>
      <c r="D22" s="22"/>
      <c r="E22" s="52"/>
      <c r="F22" s="22"/>
      <c r="H22" s="22" t="s">
        <v>65</v>
      </c>
      <c r="I22" s="22"/>
      <c r="J22" s="66">
        <f>+N22*C$2</f>
        <v>1.3333333333333335</v>
      </c>
      <c r="K22" s="61"/>
      <c r="L22" s="80">
        <f>+J22/C$4</f>
        <v>8.3333333333333343E-2</v>
      </c>
      <c r="M22" s="61"/>
      <c r="N22" s="81">
        <f>C21/C19</f>
        <v>5.3333333333333337E-2</v>
      </c>
      <c r="O22" s="22"/>
      <c r="P22" s="30" t="s">
        <v>115</v>
      </c>
      <c r="Q22" s="30"/>
    </row>
    <row r="23" spans="1:17" x14ac:dyDescent="0.55000000000000004">
      <c r="A23" s="22" t="s">
        <v>104</v>
      </c>
      <c r="B23" s="22"/>
      <c r="C23" s="68">
        <f>C7/52</f>
        <v>28846.153846153848</v>
      </c>
      <c r="D23" s="22"/>
      <c r="E23" s="52"/>
      <c r="F23" s="22"/>
      <c r="H23" s="22" t="s">
        <v>48</v>
      </c>
      <c r="I23" s="22"/>
      <c r="J23" s="66">
        <f>+N23*C$2</f>
        <v>0.74323104693140796</v>
      </c>
      <c r="K23" s="61"/>
      <c r="L23" s="80">
        <f>+J23/C$4</f>
        <v>4.6451940433212997E-2</v>
      </c>
      <c r="M23" s="61"/>
      <c r="N23" s="81">
        <f>+P23/C$17</f>
        <v>2.972924187725632E-2</v>
      </c>
      <c r="O23" s="22"/>
      <c r="P23" s="82">
        <f>+'Indirect Labor'!I9</f>
        <v>66.890794223826717</v>
      </c>
      <c r="Q23" s="22" t="s">
        <v>126</v>
      </c>
    </row>
    <row r="24" spans="1:17" x14ac:dyDescent="0.55000000000000004">
      <c r="H24" s="22" t="s">
        <v>66</v>
      </c>
      <c r="I24" s="22"/>
      <c r="J24" s="66">
        <f>+N24*C$2</f>
        <v>0.70667870036101077</v>
      </c>
      <c r="K24" s="61"/>
      <c r="L24" s="80">
        <f>+J24/C$4</f>
        <v>4.4167418772563173E-2</v>
      </c>
      <c r="M24" s="61"/>
      <c r="N24" s="81">
        <f>+P24/C$17</f>
        <v>2.826714801444043E-2</v>
      </c>
      <c r="O24" s="83"/>
      <c r="P24" s="82">
        <f>+'Variable Cost'!I11</f>
        <v>63.601083032490969</v>
      </c>
      <c r="Q24" s="22" t="s">
        <v>124</v>
      </c>
    </row>
    <row r="25" spans="1:17" x14ac:dyDescent="0.55000000000000004">
      <c r="H25" s="22" t="s">
        <v>67</v>
      </c>
      <c r="I25" s="22"/>
      <c r="J25" s="66">
        <f>+N25*C$2</f>
        <v>2.6458245725393734</v>
      </c>
      <c r="K25" s="61"/>
      <c r="L25" s="80">
        <f>+J25/C$4</f>
        <v>0.16536403578371084</v>
      </c>
      <c r="M25" s="61"/>
      <c r="N25" s="81">
        <f>+P25/C$17</f>
        <v>0.10583298290157495</v>
      </c>
      <c r="O25" s="22"/>
      <c r="P25" s="82">
        <f>+'Fixed Cost'!O15</f>
        <v>238.12421152854364</v>
      </c>
      <c r="Q25" s="22" t="s">
        <v>125</v>
      </c>
    </row>
    <row r="26" spans="1:17" x14ac:dyDescent="0.55000000000000004">
      <c r="A26" s="22" t="s">
        <v>61</v>
      </c>
      <c r="B26" s="22"/>
      <c r="C26" s="69">
        <v>0.04</v>
      </c>
      <c r="D26" s="65"/>
      <c r="H26" s="84" t="s">
        <v>68</v>
      </c>
      <c r="I26" s="22"/>
      <c r="J26" s="85">
        <f>SUM(J22:J25)</f>
        <v>5.4290676531651254</v>
      </c>
      <c r="K26" s="86"/>
      <c r="L26" s="87">
        <f>SUM(L22:L25)</f>
        <v>0.33931672832282034</v>
      </c>
      <c r="M26" s="86"/>
      <c r="N26" s="88">
        <f>SUM(N22:N25)</f>
        <v>0.21716270612660504</v>
      </c>
      <c r="O26" s="22"/>
      <c r="P26" s="22"/>
      <c r="Q26" s="22"/>
    </row>
    <row r="27" spans="1:17" x14ac:dyDescent="0.55000000000000004">
      <c r="A27" s="22" t="s">
        <v>120</v>
      </c>
      <c r="B27" s="22"/>
      <c r="C27" s="63">
        <f>+C29*(J3)</f>
        <v>438</v>
      </c>
      <c r="D27" s="63"/>
      <c r="H27" s="22" t="s">
        <v>69</v>
      </c>
      <c r="I27" s="104" t="s">
        <v>70</v>
      </c>
      <c r="J27" s="66"/>
      <c r="K27" s="61"/>
      <c r="L27" s="80"/>
      <c r="M27" s="61"/>
      <c r="N27" s="81"/>
      <c r="O27" s="22"/>
      <c r="P27" s="22"/>
      <c r="Q27" s="22"/>
    </row>
    <row r="28" spans="1:17" x14ac:dyDescent="0.55000000000000004">
      <c r="A28" s="22" t="s">
        <v>92</v>
      </c>
      <c r="B28" s="22"/>
      <c r="C28" s="70">
        <v>1.5</v>
      </c>
      <c r="D28" s="63"/>
      <c r="H28" s="105" t="s">
        <v>106</v>
      </c>
      <c r="I28" s="34">
        <v>1</v>
      </c>
      <c r="J28" s="59">
        <v>0.85</v>
      </c>
      <c r="K28" s="39"/>
      <c r="L28" s="89">
        <f>+J28/C4</f>
        <v>5.3124999999999999E-2</v>
      </c>
      <c r="M28" s="39"/>
      <c r="N28" s="40">
        <f>+J28/C2</f>
        <v>3.4000000000000002E-2</v>
      </c>
      <c r="O28" s="22"/>
      <c r="P28" s="22"/>
      <c r="Q28" s="22"/>
    </row>
    <row r="29" spans="1:17" x14ac:dyDescent="0.55000000000000004">
      <c r="A29" s="22" t="s">
        <v>121</v>
      </c>
      <c r="B29" s="22"/>
      <c r="C29" s="108">
        <f>+C28-C26</f>
        <v>1.46</v>
      </c>
      <c r="D29" s="22"/>
      <c r="H29" s="105" t="s">
        <v>107</v>
      </c>
      <c r="I29" s="34">
        <f>+C4</f>
        <v>16</v>
      </c>
      <c r="J29" s="39">
        <f>L29*C4</f>
        <v>1.52</v>
      </c>
      <c r="K29" s="39"/>
      <c r="L29" s="90">
        <v>9.5000000000000001E-2</v>
      </c>
      <c r="M29" s="39"/>
      <c r="N29" s="40">
        <f>+(L29*C4)/C2</f>
        <v>6.08E-2</v>
      </c>
      <c r="O29" s="22"/>
      <c r="P29" s="22"/>
      <c r="Q29" s="22"/>
    </row>
    <row r="30" spans="1:17" x14ac:dyDescent="0.55000000000000004">
      <c r="H30" s="91" t="s">
        <v>71</v>
      </c>
      <c r="I30" s="34"/>
      <c r="J30" s="92">
        <f>SUM(J28:J29)</f>
        <v>2.37</v>
      </c>
      <c r="K30" s="93"/>
      <c r="L30" s="94">
        <f>SUM(L28:L29)</f>
        <v>0.14812500000000001</v>
      </c>
      <c r="M30" s="93"/>
      <c r="N30" s="95">
        <f>SUM(N28:N29)</f>
        <v>9.4799999999999995E-2</v>
      </c>
      <c r="O30" s="22"/>
      <c r="P30" s="22"/>
      <c r="Q30" s="22"/>
    </row>
    <row r="31" spans="1:17" x14ac:dyDescent="0.55000000000000004">
      <c r="H31" s="34"/>
      <c r="I31" s="34"/>
      <c r="J31" s="39"/>
      <c r="K31" s="38"/>
      <c r="L31" s="89"/>
      <c r="M31" s="38"/>
      <c r="N31" s="40"/>
      <c r="O31" s="22"/>
      <c r="P31" s="22" t="s">
        <v>105</v>
      </c>
      <c r="Q31" s="22"/>
    </row>
    <row r="32" spans="1:17" x14ac:dyDescent="0.55000000000000004">
      <c r="H32" s="96" t="s">
        <v>72</v>
      </c>
      <c r="I32" s="22"/>
      <c r="J32" s="85">
        <f>J20+J26+J30</f>
        <v>13.883542539009873</v>
      </c>
      <c r="K32" s="86"/>
      <c r="L32" s="87">
        <f>L20+L26+L30</f>
        <v>0.86772140868811709</v>
      </c>
      <c r="M32" s="86"/>
      <c r="N32" s="88">
        <f>N20+N26+N30</f>
        <v>0.55534170156039497</v>
      </c>
      <c r="O32" s="22"/>
      <c r="P32" s="81">
        <f>+L32/C5</f>
        <v>8.6772140868811715E-2</v>
      </c>
      <c r="Q32" s="22"/>
    </row>
    <row r="33" spans="8:17" x14ac:dyDescent="0.55000000000000004">
      <c r="H33" s="96"/>
      <c r="I33" s="22"/>
      <c r="J33" s="97"/>
      <c r="K33" s="98"/>
      <c r="L33" s="99"/>
      <c r="M33" s="98"/>
      <c r="N33" s="100"/>
      <c r="O33" s="22"/>
      <c r="P33" s="81"/>
      <c r="Q33" s="22"/>
    </row>
    <row r="47" spans="8:17" x14ac:dyDescent="0.55000000000000004">
      <c r="H47" s="22"/>
      <c r="I47" s="22"/>
      <c r="J47" s="22"/>
      <c r="K47" s="102"/>
    </row>
    <row r="48" spans="8:17" x14ac:dyDescent="0.55000000000000004">
      <c r="H48" s="22"/>
      <c r="I48" s="22"/>
      <c r="J48" s="22"/>
      <c r="K48" s="22"/>
    </row>
    <row r="49" spans="2:26" x14ac:dyDescent="0.55000000000000004">
      <c r="I49" s="22"/>
      <c r="J49" s="22"/>
      <c r="K49" s="22"/>
    </row>
    <row r="50" spans="2:26" x14ac:dyDescent="0.55000000000000004">
      <c r="H50" s="34"/>
      <c r="I50" s="34"/>
      <c r="J50" s="34"/>
      <c r="K50" s="22"/>
    </row>
    <row r="51" spans="2:26" x14ac:dyDescent="0.55000000000000004">
      <c r="H51" s="34"/>
      <c r="I51" s="34"/>
      <c r="J51" s="34"/>
      <c r="K51" s="22"/>
    </row>
    <row r="52" spans="2:26" x14ac:dyDescent="0.55000000000000004">
      <c r="H52" s="22"/>
      <c r="I52" s="22"/>
      <c r="J52" s="22"/>
      <c r="K52" s="103">
        <v>36</v>
      </c>
    </row>
    <row r="53" spans="2:26" x14ac:dyDescent="0.55000000000000004">
      <c r="H53" s="22"/>
      <c r="I53" s="22"/>
      <c r="J53" s="22"/>
      <c r="K53" s="103">
        <v>24</v>
      </c>
    </row>
    <row r="54" spans="2:26" x14ac:dyDescent="0.55000000000000004">
      <c r="H54" s="34"/>
      <c r="I54" s="34"/>
      <c r="J54" s="22"/>
      <c r="K54" s="103">
        <v>25</v>
      </c>
    </row>
    <row r="55" spans="2:26" x14ac:dyDescent="0.55000000000000004">
      <c r="H55" s="34"/>
      <c r="I55" s="34"/>
      <c r="J55" s="22"/>
      <c r="K55" s="103">
        <v>26</v>
      </c>
    </row>
    <row r="56" spans="2:26" x14ac:dyDescent="0.55000000000000004">
      <c r="I56" s="22"/>
      <c r="J56" s="22"/>
      <c r="K56" s="103">
        <v>27</v>
      </c>
    </row>
    <row r="57" spans="2:26" x14ac:dyDescent="0.55000000000000004">
      <c r="H57" s="22"/>
      <c r="I57" s="22"/>
      <c r="J57" s="22"/>
      <c r="K57" s="103">
        <v>28</v>
      </c>
    </row>
    <row r="58" spans="2:26" x14ac:dyDescent="0.55000000000000004">
      <c r="H58" s="22"/>
      <c r="I58" s="22"/>
      <c r="J58" s="22"/>
      <c r="K58" s="103">
        <v>29</v>
      </c>
    </row>
    <row r="59" spans="2:26" x14ac:dyDescent="0.55000000000000004">
      <c r="I59" s="22"/>
      <c r="J59" s="22"/>
      <c r="K59" s="103">
        <v>30</v>
      </c>
    </row>
    <row r="60" spans="2:26" x14ac:dyDescent="0.55000000000000004">
      <c r="H60" s="22"/>
      <c r="I60" s="22"/>
      <c r="J60" s="22"/>
      <c r="K60" s="103">
        <v>31</v>
      </c>
    </row>
    <row r="61" spans="2:26" x14ac:dyDescent="0.55000000000000004">
      <c r="H61" s="22"/>
      <c r="I61" s="22"/>
      <c r="J61" s="22"/>
      <c r="K61" s="103">
        <v>32</v>
      </c>
    </row>
    <row r="62" spans="2:26" x14ac:dyDescent="0.55000000000000004">
      <c r="H62" s="22"/>
      <c r="I62" s="22"/>
      <c r="J62" s="22"/>
      <c r="K62" s="103">
        <v>33</v>
      </c>
    </row>
    <row r="63" spans="2:26" x14ac:dyDescent="0.55000000000000004">
      <c r="B63" s="22"/>
      <c r="C63" s="22"/>
      <c r="D63" s="52"/>
      <c r="E63" s="22"/>
      <c r="F63" s="52"/>
      <c r="G63" s="22"/>
      <c r="H63" s="22"/>
      <c r="I63" s="22"/>
      <c r="J63" s="22"/>
      <c r="K63" s="103">
        <v>34</v>
      </c>
    </row>
    <row r="64" spans="2:26" x14ac:dyDescent="0.55000000000000004">
      <c r="B64" s="22"/>
      <c r="C64" s="22"/>
      <c r="D64" s="22"/>
      <c r="E64" s="22"/>
      <c r="F64" s="52"/>
      <c r="G64" s="22"/>
      <c r="H64" s="22"/>
      <c r="I64" s="22"/>
      <c r="J64" s="22"/>
      <c r="K64" s="103">
        <v>35</v>
      </c>
      <c r="W64" s="22"/>
      <c r="X64" s="22"/>
      <c r="Y64" s="22"/>
      <c r="Z64" s="22"/>
    </row>
    <row r="65" spans="2:26" x14ac:dyDescent="0.55000000000000004">
      <c r="B65" s="22"/>
      <c r="C65" s="22"/>
      <c r="D65" s="22"/>
      <c r="E65" s="22"/>
      <c r="F65" s="52"/>
      <c r="G65" s="22"/>
      <c r="H65" s="22"/>
      <c r="I65" s="22"/>
      <c r="J65" s="22"/>
      <c r="W65" s="22"/>
      <c r="X65" s="22"/>
      <c r="Y65" s="22"/>
      <c r="Z65" s="10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65"/>
  <sheetViews>
    <sheetView showGridLines="0" zoomScale="50" zoomScaleNormal="50" workbookViewId="0">
      <selection sqref="A1:T32"/>
    </sheetView>
  </sheetViews>
  <sheetFormatPr defaultColWidth="9.1328125" defaultRowHeight="20.65" x14ac:dyDescent="0.55000000000000004"/>
  <cols>
    <col min="1" max="1" width="9.1328125" style="26"/>
    <col min="2" max="2" width="21.73046875" style="26" customWidth="1"/>
    <col min="3" max="3" width="18.1328125" style="26" customWidth="1"/>
    <col min="4" max="4" width="14.86328125" style="26" bestFit="1" customWidth="1"/>
    <col min="5" max="5" width="9.3984375" style="26" bestFit="1" customWidth="1"/>
    <col min="6" max="6" width="10" style="26" bestFit="1" customWidth="1"/>
    <col min="7" max="7" width="9.1328125" style="26"/>
    <col min="8" max="8" width="18.59765625" style="26" customWidth="1"/>
    <col min="9" max="9" width="11.265625" style="26" bestFit="1" customWidth="1"/>
    <col min="10" max="10" width="11.1328125" style="26" bestFit="1" customWidth="1"/>
    <col min="11" max="11" width="9.265625" style="26" bestFit="1" customWidth="1"/>
    <col min="12" max="12" width="11.73046875" style="26" customWidth="1"/>
    <col min="13" max="13" width="6.265625" style="26" customWidth="1"/>
    <col min="14" max="14" width="12.59765625" style="26" customWidth="1"/>
    <col min="15" max="15" width="18.73046875" style="26" customWidth="1"/>
    <col min="16" max="16" width="13.3984375" style="26" customWidth="1"/>
    <col min="17" max="17" width="9.265625" style="26" bestFit="1" customWidth="1"/>
    <col min="18" max="16384" width="9.1328125" style="26"/>
  </cols>
  <sheetData>
    <row r="1" spans="1:17" x14ac:dyDescent="0.55000000000000004">
      <c r="B1" s="21" t="s">
        <v>50</v>
      </c>
      <c r="C1" s="83" t="s">
        <v>116</v>
      </c>
      <c r="D1" s="22"/>
      <c r="E1" s="22"/>
      <c r="F1" s="23"/>
      <c r="G1" s="24"/>
      <c r="H1" s="24"/>
      <c r="I1" s="24"/>
      <c r="J1" s="25"/>
      <c r="K1" s="22"/>
    </row>
    <row r="2" spans="1:17" x14ac:dyDescent="0.55000000000000004">
      <c r="B2" s="21" t="s">
        <v>51</v>
      </c>
      <c r="C2" s="27">
        <f>+(C4*C5)/12*C3/16</f>
        <v>20</v>
      </c>
      <c r="D2" s="22"/>
      <c r="E2" s="22"/>
      <c r="F2" s="28"/>
      <c r="G2" s="28"/>
      <c r="H2" s="29" t="s">
        <v>54</v>
      </c>
      <c r="I2" s="29"/>
      <c r="J2" s="30" t="s">
        <v>55</v>
      </c>
      <c r="K2" s="30" t="s">
        <v>56</v>
      </c>
      <c r="L2" s="30" t="s">
        <v>57</v>
      </c>
      <c r="M2" s="30"/>
      <c r="N2" s="31" t="s">
        <v>58</v>
      </c>
      <c r="O2" s="32" t="s">
        <v>114</v>
      </c>
      <c r="P2" s="21"/>
      <c r="Q2" s="21"/>
    </row>
    <row r="3" spans="1:17" x14ac:dyDescent="0.55000000000000004">
      <c r="B3" s="21" t="s">
        <v>52</v>
      </c>
      <c r="C3" s="106">
        <v>10</v>
      </c>
      <c r="D3" s="22"/>
      <c r="E3" s="22"/>
      <c r="F3" s="25"/>
      <c r="G3" s="25"/>
      <c r="H3" s="34" t="s">
        <v>118</v>
      </c>
      <c r="I3" s="34"/>
      <c r="J3" s="35">
        <v>500</v>
      </c>
      <c r="K3" s="36">
        <f>+J3/J3</f>
        <v>1</v>
      </c>
      <c r="L3" s="37">
        <v>0.3</v>
      </c>
      <c r="M3" s="38"/>
      <c r="N3" s="39">
        <f t="shared" ref="N3:N15" si="0">+L3*J3</f>
        <v>150</v>
      </c>
      <c r="O3" s="40">
        <f t="shared" ref="O3:O15" si="1">N3/$C$27</f>
        <v>0.19354838709677419</v>
      </c>
      <c r="P3" s="41"/>
      <c r="Q3" s="34"/>
    </row>
    <row r="4" spans="1:17" x14ac:dyDescent="0.55000000000000004">
      <c r="B4" s="21" t="s">
        <v>53</v>
      </c>
      <c r="C4" s="83">
        <v>16</v>
      </c>
      <c r="D4" s="21"/>
      <c r="E4" s="22"/>
      <c r="F4" s="22"/>
      <c r="G4" s="22"/>
      <c r="H4" s="34"/>
      <c r="I4" s="34"/>
      <c r="J4" s="35"/>
      <c r="K4" s="36"/>
      <c r="L4" s="37"/>
      <c r="M4" s="38"/>
      <c r="N4" s="39">
        <f>+L4*J4</f>
        <v>0</v>
      </c>
      <c r="O4" s="40">
        <f t="shared" si="1"/>
        <v>0</v>
      </c>
      <c r="P4" s="34"/>
      <c r="Q4" s="34"/>
    </row>
    <row r="5" spans="1:17" x14ac:dyDescent="0.55000000000000004">
      <c r="B5" s="21" t="s">
        <v>85</v>
      </c>
      <c r="C5" s="83">
        <v>24</v>
      </c>
      <c r="D5" s="22"/>
      <c r="E5" s="22"/>
      <c r="F5" s="22"/>
      <c r="G5" s="22"/>
      <c r="H5" s="34"/>
      <c r="I5" s="34"/>
      <c r="J5" s="35"/>
      <c r="K5" s="36"/>
      <c r="L5" s="37"/>
      <c r="M5" s="38"/>
      <c r="N5" s="39">
        <f t="shared" si="0"/>
        <v>0</v>
      </c>
      <c r="O5" s="40">
        <f t="shared" si="1"/>
        <v>0</v>
      </c>
      <c r="P5" s="44"/>
      <c r="Q5" s="45"/>
    </row>
    <row r="6" spans="1:17" x14ac:dyDescent="0.55000000000000004">
      <c r="H6" s="34" t="s">
        <v>87</v>
      </c>
      <c r="I6" s="34"/>
      <c r="J6" s="35">
        <v>350</v>
      </c>
      <c r="K6" s="36">
        <f>+J6/J$3</f>
        <v>0.7</v>
      </c>
      <c r="L6" s="37">
        <v>0</v>
      </c>
      <c r="M6" s="38"/>
      <c r="N6" s="39">
        <f t="shared" si="0"/>
        <v>0</v>
      </c>
      <c r="O6" s="40">
        <f t="shared" si="1"/>
        <v>0</v>
      </c>
      <c r="P6" s="41"/>
      <c r="Q6" s="34"/>
    </row>
    <row r="7" spans="1:17" x14ac:dyDescent="0.55000000000000004">
      <c r="A7" s="22" t="s">
        <v>8</v>
      </c>
      <c r="B7" s="22"/>
      <c r="C7" s="33">
        <f>+'Base '!D18</f>
        <v>1500000</v>
      </c>
      <c r="D7" s="22"/>
      <c r="E7" s="22"/>
      <c r="F7" s="22"/>
      <c r="H7" s="46"/>
      <c r="I7" s="34"/>
      <c r="J7" s="35">
        <v>0</v>
      </c>
      <c r="K7" s="36">
        <f>+J7/J$3</f>
        <v>0</v>
      </c>
      <c r="L7" s="37">
        <v>0.55000000000000004</v>
      </c>
      <c r="M7" s="38"/>
      <c r="N7" s="39">
        <f t="shared" si="0"/>
        <v>0</v>
      </c>
      <c r="O7" s="40">
        <f t="shared" si="1"/>
        <v>0</v>
      </c>
      <c r="P7" s="34"/>
      <c r="Q7" s="34"/>
    </row>
    <row r="8" spans="1:17" x14ac:dyDescent="0.55000000000000004">
      <c r="A8" s="22" t="s">
        <v>73</v>
      </c>
      <c r="B8" s="22"/>
      <c r="C8" s="42">
        <v>52</v>
      </c>
      <c r="D8" s="22"/>
      <c r="E8" s="22"/>
      <c r="F8" s="22"/>
      <c r="H8" s="34" t="s">
        <v>89</v>
      </c>
      <c r="I8" s="34"/>
      <c r="J8" s="35">
        <v>5</v>
      </c>
      <c r="K8" s="36">
        <f>+J8/J$3</f>
        <v>0.01</v>
      </c>
      <c r="L8" s="37">
        <v>2</v>
      </c>
      <c r="M8" s="38"/>
      <c r="N8" s="39">
        <f t="shared" si="0"/>
        <v>10</v>
      </c>
      <c r="O8" s="40">
        <f t="shared" si="1"/>
        <v>1.2903225806451613E-2</v>
      </c>
      <c r="P8" s="34"/>
      <c r="Q8" s="34"/>
    </row>
    <row r="9" spans="1:17" x14ac:dyDescent="0.55000000000000004">
      <c r="A9" s="22" t="s">
        <v>74</v>
      </c>
      <c r="B9" s="22"/>
      <c r="C9" s="43">
        <f>C7/C8</f>
        <v>28846.153846153848</v>
      </c>
      <c r="D9" s="22"/>
      <c r="E9" s="34"/>
      <c r="F9" s="22"/>
      <c r="H9" s="34"/>
      <c r="I9" s="34"/>
      <c r="J9" s="35">
        <v>0</v>
      </c>
      <c r="K9" s="36">
        <f>+J9/J$3</f>
        <v>0</v>
      </c>
      <c r="L9" s="37">
        <v>1</v>
      </c>
      <c r="M9" s="38"/>
      <c r="N9" s="39">
        <f t="shared" si="0"/>
        <v>0</v>
      </c>
      <c r="O9" s="40">
        <f t="shared" si="1"/>
        <v>0</v>
      </c>
      <c r="P9" s="34"/>
      <c r="Q9" s="49"/>
    </row>
    <row r="10" spans="1:17" x14ac:dyDescent="0.55000000000000004">
      <c r="A10" s="22" t="s">
        <v>75</v>
      </c>
      <c r="B10" s="22"/>
      <c r="C10" s="43">
        <f>C7/C16</f>
        <v>987.65432098765427</v>
      </c>
      <c r="D10" s="22"/>
      <c r="E10" s="22"/>
      <c r="F10" s="22"/>
      <c r="H10" s="34" t="s">
        <v>90</v>
      </c>
      <c r="I10" s="34"/>
      <c r="J10" s="35"/>
      <c r="K10" s="36">
        <f>+J10/J$3</f>
        <v>0</v>
      </c>
      <c r="L10" s="37"/>
      <c r="M10" s="38"/>
      <c r="N10" s="39">
        <f t="shared" si="0"/>
        <v>0</v>
      </c>
      <c r="O10" s="40">
        <f t="shared" si="1"/>
        <v>0</v>
      </c>
      <c r="P10" s="34"/>
      <c r="Q10" s="49"/>
    </row>
    <row r="11" spans="1:17" x14ac:dyDescent="0.55000000000000004">
      <c r="A11" s="22" t="s">
        <v>76</v>
      </c>
      <c r="B11" s="22"/>
      <c r="C11" s="43">
        <f>+C7/C17</f>
        <v>888.88888888888891</v>
      </c>
      <c r="D11" s="22"/>
      <c r="E11" s="22"/>
      <c r="F11" s="22"/>
      <c r="H11" s="46"/>
      <c r="I11" s="34"/>
      <c r="J11" s="35"/>
      <c r="K11" s="36"/>
      <c r="L11" s="37"/>
      <c r="M11" s="38"/>
      <c r="N11" s="39">
        <f t="shared" si="0"/>
        <v>0</v>
      </c>
      <c r="O11" s="40">
        <f t="shared" si="1"/>
        <v>0</v>
      </c>
      <c r="P11" s="34"/>
      <c r="Q11" s="49"/>
    </row>
    <row r="12" spans="1:17" x14ac:dyDescent="0.55000000000000004">
      <c r="A12" s="34" t="s">
        <v>100</v>
      </c>
      <c r="B12" s="34"/>
      <c r="C12" s="45">
        <f>+C11/C8</f>
        <v>17.094017094017094</v>
      </c>
      <c r="D12" s="34"/>
      <c r="E12" s="34"/>
      <c r="F12" s="34"/>
      <c r="H12" s="46"/>
      <c r="I12" s="34"/>
      <c r="J12" s="35"/>
      <c r="K12" s="36"/>
      <c r="L12" s="37"/>
      <c r="M12" s="38"/>
      <c r="N12" s="39">
        <f t="shared" si="0"/>
        <v>0</v>
      </c>
      <c r="O12" s="40">
        <f t="shared" si="1"/>
        <v>0</v>
      </c>
      <c r="P12" s="34"/>
      <c r="Q12" s="49"/>
    </row>
    <row r="13" spans="1:17" x14ac:dyDescent="0.55000000000000004">
      <c r="A13" s="48" t="s">
        <v>117</v>
      </c>
      <c r="B13" s="34"/>
      <c r="C13" s="47">
        <v>12</v>
      </c>
      <c r="D13" s="34"/>
      <c r="E13" s="34"/>
      <c r="F13" s="34"/>
      <c r="H13" s="34"/>
      <c r="I13" s="34"/>
      <c r="J13" s="35"/>
      <c r="K13" s="36"/>
      <c r="L13" s="37"/>
      <c r="M13" s="38"/>
      <c r="N13" s="39">
        <f>+L13*I13</f>
        <v>0</v>
      </c>
      <c r="O13" s="40">
        <f t="shared" si="1"/>
        <v>0</v>
      </c>
      <c r="P13" s="34"/>
      <c r="Q13" s="49"/>
    </row>
    <row r="14" spans="1:17" x14ac:dyDescent="0.55000000000000004">
      <c r="A14" s="48" t="s">
        <v>102</v>
      </c>
      <c r="B14" s="22"/>
      <c r="C14" s="50">
        <v>45</v>
      </c>
      <c r="D14" s="22"/>
      <c r="E14" s="22"/>
      <c r="F14" s="22"/>
      <c r="H14" s="34"/>
      <c r="I14" s="34"/>
      <c r="J14" s="35"/>
      <c r="K14" s="36"/>
      <c r="L14" s="37"/>
      <c r="M14" s="38"/>
      <c r="N14" s="39">
        <f t="shared" si="0"/>
        <v>0</v>
      </c>
      <c r="O14" s="40">
        <f t="shared" si="1"/>
        <v>0</v>
      </c>
      <c r="P14" s="34"/>
      <c r="Q14" s="49"/>
    </row>
    <row r="15" spans="1:17" x14ac:dyDescent="0.55000000000000004">
      <c r="A15" s="22" t="s">
        <v>103</v>
      </c>
      <c r="B15" s="22"/>
      <c r="C15" s="107">
        <f>+C13*C14</f>
        <v>540</v>
      </c>
      <c r="D15" s="22"/>
      <c r="E15" s="22" t="s">
        <v>77</v>
      </c>
      <c r="F15" s="22"/>
      <c r="H15" s="34"/>
      <c r="I15" s="34"/>
      <c r="J15" s="53"/>
      <c r="K15" s="54"/>
      <c r="L15" s="55"/>
      <c r="M15" s="56"/>
      <c r="N15" s="57">
        <f t="shared" si="0"/>
        <v>0</v>
      </c>
      <c r="O15" s="40">
        <f t="shared" si="1"/>
        <v>0</v>
      </c>
      <c r="P15" s="34"/>
      <c r="Q15" s="49"/>
    </row>
    <row r="16" spans="1:17" x14ac:dyDescent="0.55000000000000004">
      <c r="A16" s="22" t="s">
        <v>78</v>
      </c>
      <c r="B16" s="22"/>
      <c r="C16" s="45">
        <f>+C17*C18</f>
        <v>1518.75</v>
      </c>
      <c r="D16" s="34"/>
      <c r="E16" s="51"/>
      <c r="F16" s="34"/>
      <c r="H16" s="34"/>
      <c r="I16" s="34"/>
      <c r="J16" s="58"/>
      <c r="K16" s="36"/>
      <c r="L16" s="37"/>
      <c r="M16" s="38"/>
      <c r="N16" s="39"/>
      <c r="O16" s="40"/>
      <c r="P16" s="34"/>
      <c r="Q16" s="49"/>
    </row>
    <row r="17" spans="1:17" ht="23.25" thickBot="1" x14ac:dyDescent="0.9">
      <c r="A17" s="22" t="s">
        <v>79</v>
      </c>
      <c r="B17" s="22"/>
      <c r="C17" s="45">
        <f>+C15/12*C3/16*60</f>
        <v>1687.5</v>
      </c>
      <c r="D17" s="22"/>
      <c r="E17" s="52">
        <f>+C17/C2/60</f>
        <v>1.40625</v>
      </c>
      <c r="F17" s="22"/>
      <c r="H17" s="22" t="s">
        <v>60</v>
      </c>
      <c r="I17" s="22"/>
      <c r="J17" s="60">
        <f>SUM(J3:J16)</f>
        <v>855</v>
      </c>
      <c r="K17" s="36"/>
      <c r="L17" s="61"/>
      <c r="M17" s="61"/>
      <c r="N17" s="62">
        <f>SUM(N3:N15)</f>
        <v>160</v>
      </c>
      <c r="O17" s="40">
        <f>N17/$C$27</f>
        <v>0.20645161290322581</v>
      </c>
      <c r="P17" s="22"/>
      <c r="Q17" s="63"/>
    </row>
    <row r="18" spans="1:17" ht="23.25" thickTop="1" x14ac:dyDescent="0.85">
      <c r="A18" s="22" t="s">
        <v>80</v>
      </c>
      <c r="B18" s="22"/>
      <c r="C18" s="46">
        <v>0.9</v>
      </c>
      <c r="D18" s="22"/>
      <c r="E18" s="52"/>
      <c r="F18" s="22" t="s">
        <v>59</v>
      </c>
      <c r="H18" s="22"/>
      <c r="I18" s="22"/>
      <c r="J18" s="63"/>
      <c r="K18" s="65"/>
      <c r="L18" s="61"/>
      <c r="M18" s="61"/>
      <c r="N18" s="66"/>
      <c r="O18" s="67"/>
      <c r="P18" s="22"/>
      <c r="Q18" s="63"/>
    </row>
    <row r="19" spans="1:17" ht="21" thickBot="1" x14ac:dyDescent="0.6">
      <c r="A19" s="22" t="s">
        <v>81</v>
      </c>
      <c r="B19" s="22"/>
      <c r="C19" s="45">
        <f>C17/C20</f>
        <v>281.25</v>
      </c>
      <c r="D19" s="22"/>
      <c r="E19" s="52"/>
      <c r="F19" s="22"/>
      <c r="H19" s="22"/>
      <c r="I19" s="22"/>
      <c r="J19" s="71" t="s">
        <v>62</v>
      </c>
      <c r="K19" s="71"/>
      <c r="L19" s="71" t="s">
        <v>63</v>
      </c>
      <c r="M19" s="71"/>
      <c r="N19" s="72" t="s">
        <v>64</v>
      </c>
      <c r="O19" s="22"/>
      <c r="P19" s="22"/>
      <c r="Q19" s="73"/>
    </row>
    <row r="20" spans="1:17" x14ac:dyDescent="0.55000000000000004">
      <c r="A20" s="22" t="s">
        <v>82</v>
      </c>
      <c r="B20" s="22"/>
      <c r="C20" s="47">
        <v>6</v>
      </c>
      <c r="D20" s="22"/>
      <c r="E20" s="52"/>
      <c r="F20" s="22"/>
      <c r="H20" s="22" t="s">
        <v>54</v>
      </c>
      <c r="I20" s="22"/>
      <c r="J20" s="74">
        <f>N20*$C$2</f>
        <v>4.129032258064516</v>
      </c>
      <c r="K20" s="74"/>
      <c r="L20" s="75">
        <f>J20/$C$4</f>
        <v>0.25806451612903225</v>
      </c>
      <c r="M20" s="74"/>
      <c r="N20" s="76">
        <f>+N17/C27</f>
        <v>0.20645161290322581</v>
      </c>
      <c r="O20" s="22"/>
      <c r="P20" s="22"/>
      <c r="Q20" s="73"/>
    </row>
    <row r="21" spans="1:17" x14ac:dyDescent="0.55000000000000004">
      <c r="A21" s="22" t="s">
        <v>83</v>
      </c>
      <c r="B21" s="22"/>
      <c r="C21" s="59">
        <v>12</v>
      </c>
      <c r="D21" s="22"/>
      <c r="F21" s="22"/>
      <c r="H21" s="22"/>
      <c r="I21" s="22"/>
      <c r="J21" s="77"/>
      <c r="K21" s="77"/>
      <c r="L21" s="78"/>
      <c r="M21" s="77"/>
      <c r="N21" s="79"/>
      <c r="O21" s="22"/>
      <c r="P21" s="22"/>
      <c r="Q21" s="73"/>
    </row>
    <row r="22" spans="1:17" x14ac:dyDescent="0.55000000000000004">
      <c r="A22" s="22" t="s">
        <v>84</v>
      </c>
      <c r="B22" s="22"/>
      <c r="C22" s="64">
        <f>+C17/C2*C4/60</f>
        <v>22.5</v>
      </c>
      <c r="D22" s="22"/>
      <c r="E22" s="52"/>
      <c r="F22" s="22"/>
      <c r="H22" s="22" t="s">
        <v>65</v>
      </c>
      <c r="I22" s="22"/>
      <c r="J22" s="66">
        <f>+N22*C$2</f>
        <v>0.85333333333333328</v>
      </c>
      <c r="K22" s="61"/>
      <c r="L22" s="80">
        <f>+J22/C$4</f>
        <v>5.333333333333333E-2</v>
      </c>
      <c r="M22" s="61"/>
      <c r="N22" s="81">
        <f>C21/C19</f>
        <v>4.2666666666666665E-2</v>
      </c>
      <c r="O22" s="22"/>
      <c r="P22" s="30" t="s">
        <v>119</v>
      </c>
      <c r="Q22" s="30"/>
    </row>
    <row r="23" spans="1:17" x14ac:dyDescent="0.55000000000000004">
      <c r="A23" s="22" t="s">
        <v>104</v>
      </c>
      <c r="B23" s="22"/>
      <c r="C23" s="68">
        <f>C7/52</f>
        <v>28846.153846153848</v>
      </c>
      <c r="D23" s="22"/>
      <c r="E23" s="52"/>
      <c r="F23" s="22"/>
      <c r="H23" s="22" t="s">
        <v>48</v>
      </c>
      <c r="I23" s="22"/>
      <c r="J23" s="66">
        <f>+N23*C$2</f>
        <v>0.79277978339350186</v>
      </c>
      <c r="K23" s="61"/>
      <c r="L23" s="80">
        <f>+J23/C$4</f>
        <v>4.9548736462093866E-2</v>
      </c>
      <c r="M23" s="61"/>
      <c r="N23" s="81">
        <f>+P23/C$17</f>
        <v>3.9638989169675093E-2</v>
      </c>
      <c r="O23" s="22"/>
      <c r="P23" s="82">
        <f>+'Indirect Labor'!I9</f>
        <v>66.890794223826717</v>
      </c>
      <c r="Q23" s="22" t="s">
        <v>126</v>
      </c>
    </row>
    <row r="24" spans="1:17" x14ac:dyDescent="0.55000000000000004">
      <c r="H24" s="22" t="s">
        <v>66</v>
      </c>
      <c r="I24" s="22"/>
      <c r="J24" s="66">
        <f>+N24*C$2</f>
        <v>0.7537906137184115</v>
      </c>
      <c r="K24" s="61"/>
      <c r="L24" s="80">
        <f>+J24/C$4</f>
        <v>4.7111913357400718E-2</v>
      </c>
      <c r="M24" s="61"/>
      <c r="N24" s="81">
        <f>+P24/C$17</f>
        <v>3.7689530685920576E-2</v>
      </c>
      <c r="O24" s="83"/>
      <c r="P24" s="82">
        <f>+'Variable Cost'!I11</f>
        <v>63.601083032490969</v>
      </c>
      <c r="Q24" s="22" t="s">
        <v>124</v>
      </c>
    </row>
    <row r="25" spans="1:17" x14ac:dyDescent="0.55000000000000004">
      <c r="H25" s="22" t="s">
        <v>67</v>
      </c>
      <c r="I25" s="22"/>
      <c r="J25" s="66">
        <f>+N25*C$2</f>
        <v>1.7068282619907169</v>
      </c>
      <c r="K25" s="61"/>
      <c r="L25" s="80">
        <f>+J25/C$4</f>
        <v>0.10667676637441981</v>
      </c>
      <c r="M25" s="61"/>
      <c r="N25" s="81">
        <f>+P25/C$17</f>
        <v>8.5341413099535843E-2</v>
      </c>
      <c r="O25" s="22"/>
      <c r="P25" s="82">
        <f>+'Fixed Cost'!O20</f>
        <v>144.01363460546673</v>
      </c>
      <c r="Q25" s="22" t="s">
        <v>125</v>
      </c>
    </row>
    <row r="26" spans="1:17" x14ac:dyDescent="0.55000000000000004">
      <c r="A26" s="22" t="s">
        <v>61</v>
      </c>
      <c r="B26" s="22"/>
      <c r="C26" s="69">
        <v>0.05</v>
      </c>
      <c r="D26" s="65"/>
      <c r="H26" s="84" t="s">
        <v>68</v>
      </c>
      <c r="I26" s="22"/>
      <c r="J26" s="85">
        <f>SUM(J22:J25)</f>
        <v>4.1067319924359635</v>
      </c>
      <c r="K26" s="86"/>
      <c r="L26" s="87">
        <f>SUM(L22:L25)</f>
        <v>0.25667074952724772</v>
      </c>
      <c r="M26" s="86"/>
      <c r="N26" s="88">
        <f>SUM(N22:N25)</f>
        <v>0.20533659962179818</v>
      </c>
      <c r="O26" s="22"/>
      <c r="P26" s="22"/>
      <c r="Q26" s="22"/>
    </row>
    <row r="27" spans="1:17" x14ac:dyDescent="0.55000000000000004">
      <c r="A27" s="22" t="s">
        <v>120</v>
      </c>
      <c r="B27" s="22"/>
      <c r="C27" s="63">
        <f>+C29*(J3)</f>
        <v>775</v>
      </c>
      <c r="D27" s="63"/>
      <c r="H27" s="22" t="s">
        <v>69</v>
      </c>
      <c r="I27" s="104" t="s">
        <v>70</v>
      </c>
      <c r="J27" s="66"/>
      <c r="K27" s="61"/>
      <c r="L27" s="80"/>
      <c r="M27" s="61"/>
      <c r="N27" s="81"/>
      <c r="O27" s="22"/>
      <c r="P27" s="22"/>
      <c r="Q27" s="22"/>
    </row>
    <row r="28" spans="1:17" x14ac:dyDescent="0.55000000000000004">
      <c r="A28" s="22" t="s">
        <v>92</v>
      </c>
      <c r="B28" s="22"/>
      <c r="C28" s="70">
        <v>1.6</v>
      </c>
      <c r="D28" s="63"/>
      <c r="H28" s="105" t="s">
        <v>106</v>
      </c>
      <c r="I28" s="34">
        <v>1</v>
      </c>
      <c r="J28" s="59">
        <v>0.5</v>
      </c>
      <c r="K28" s="39"/>
      <c r="L28" s="89">
        <f>+J28/C4</f>
        <v>3.125E-2</v>
      </c>
      <c r="M28" s="39"/>
      <c r="N28" s="40">
        <f>+J28/C2</f>
        <v>2.5000000000000001E-2</v>
      </c>
      <c r="O28" s="22"/>
      <c r="P28" s="22"/>
      <c r="Q28" s="22"/>
    </row>
    <row r="29" spans="1:17" x14ac:dyDescent="0.55000000000000004">
      <c r="A29" s="22" t="s">
        <v>121</v>
      </c>
      <c r="B29" s="22"/>
      <c r="C29" s="108">
        <f>+C28-C26</f>
        <v>1.55</v>
      </c>
      <c r="D29" s="22"/>
      <c r="H29" s="105" t="s">
        <v>107</v>
      </c>
      <c r="I29" s="34">
        <f>+C4</f>
        <v>16</v>
      </c>
      <c r="J29" s="39">
        <f>L29*C4</f>
        <v>0.72</v>
      </c>
      <c r="K29" s="39"/>
      <c r="L29" s="90">
        <v>4.4999999999999998E-2</v>
      </c>
      <c r="M29" s="39"/>
      <c r="N29" s="40">
        <f>+(L29*C4)/C2</f>
        <v>3.5999999999999997E-2</v>
      </c>
      <c r="O29" s="22"/>
      <c r="P29" s="22"/>
      <c r="Q29" s="22"/>
    </row>
    <row r="30" spans="1:17" x14ac:dyDescent="0.55000000000000004">
      <c r="H30" s="91" t="s">
        <v>71</v>
      </c>
      <c r="I30" s="34"/>
      <c r="J30" s="92">
        <f>SUM(J28:J29)</f>
        <v>1.22</v>
      </c>
      <c r="K30" s="93"/>
      <c r="L30" s="94">
        <f>SUM(L28:L29)</f>
        <v>7.6249999999999998E-2</v>
      </c>
      <c r="M30" s="93"/>
      <c r="N30" s="95">
        <f>SUM(N28:N29)</f>
        <v>6.0999999999999999E-2</v>
      </c>
      <c r="O30" s="22"/>
      <c r="P30" s="22"/>
      <c r="Q30" s="22"/>
    </row>
    <row r="31" spans="1:17" x14ac:dyDescent="0.55000000000000004">
      <c r="H31" s="34"/>
      <c r="I31" s="34"/>
      <c r="J31" s="39"/>
      <c r="K31" s="38"/>
      <c r="L31" s="89"/>
      <c r="M31" s="38"/>
      <c r="N31" s="40"/>
      <c r="O31" s="22"/>
      <c r="P31" s="22" t="s">
        <v>105</v>
      </c>
      <c r="Q31" s="22"/>
    </row>
    <row r="32" spans="1:17" x14ac:dyDescent="0.55000000000000004">
      <c r="H32" s="96" t="s">
        <v>72</v>
      </c>
      <c r="I32" s="22"/>
      <c r="J32" s="85">
        <f>J20+J26+J30</f>
        <v>9.4557642505004811</v>
      </c>
      <c r="K32" s="86"/>
      <c r="L32" s="87">
        <f>L20+L26+L30</f>
        <v>0.59098526565628007</v>
      </c>
      <c r="M32" s="86"/>
      <c r="N32" s="88">
        <f>N20+N26+N30</f>
        <v>0.47278821252502395</v>
      </c>
      <c r="O32" s="22"/>
      <c r="P32" s="81">
        <f>+L32/C5</f>
        <v>2.4624386069011669E-2</v>
      </c>
      <c r="Q32" s="22"/>
    </row>
    <row r="33" spans="8:17" x14ac:dyDescent="0.55000000000000004">
      <c r="H33" s="96"/>
      <c r="I33" s="22"/>
      <c r="J33" s="97"/>
      <c r="K33" s="98"/>
      <c r="L33" s="99"/>
      <c r="M33" s="98"/>
      <c r="N33" s="100"/>
      <c r="O33" s="22"/>
      <c r="P33" s="81"/>
      <c r="Q33" s="22"/>
    </row>
    <row r="47" spans="8:17" x14ac:dyDescent="0.55000000000000004">
      <c r="H47" s="22"/>
      <c r="I47" s="22"/>
      <c r="J47" s="22"/>
      <c r="K47" s="102"/>
    </row>
    <row r="48" spans="8:17" x14ac:dyDescent="0.55000000000000004">
      <c r="H48" s="22"/>
      <c r="I48" s="22"/>
      <c r="J48" s="22"/>
      <c r="K48" s="22"/>
    </row>
    <row r="49" spans="2:26" x14ac:dyDescent="0.55000000000000004">
      <c r="I49" s="22"/>
      <c r="J49" s="22"/>
      <c r="K49" s="22"/>
    </row>
    <row r="50" spans="2:26" x14ac:dyDescent="0.55000000000000004">
      <c r="H50" s="34"/>
      <c r="I50" s="34"/>
      <c r="J50" s="34"/>
      <c r="K50" s="22"/>
    </row>
    <row r="51" spans="2:26" x14ac:dyDescent="0.55000000000000004">
      <c r="H51" s="34"/>
      <c r="I51" s="34"/>
      <c r="J51" s="34"/>
      <c r="K51" s="22"/>
    </row>
    <row r="52" spans="2:26" x14ac:dyDescent="0.55000000000000004">
      <c r="H52" s="22"/>
      <c r="I52" s="22"/>
      <c r="J52" s="22"/>
      <c r="K52" s="103">
        <v>36</v>
      </c>
    </row>
    <row r="53" spans="2:26" x14ac:dyDescent="0.55000000000000004">
      <c r="H53" s="22"/>
      <c r="I53" s="22"/>
      <c r="J53" s="22"/>
      <c r="K53" s="103">
        <v>24</v>
      </c>
    </row>
    <row r="54" spans="2:26" x14ac:dyDescent="0.55000000000000004">
      <c r="H54" s="34"/>
      <c r="I54" s="34"/>
      <c r="J54" s="22"/>
      <c r="K54" s="103">
        <v>25</v>
      </c>
    </row>
    <row r="55" spans="2:26" x14ac:dyDescent="0.55000000000000004">
      <c r="H55" s="34"/>
      <c r="I55" s="34"/>
      <c r="J55" s="22"/>
      <c r="K55" s="103">
        <v>26</v>
      </c>
    </row>
    <row r="56" spans="2:26" x14ac:dyDescent="0.55000000000000004">
      <c r="I56" s="22"/>
      <c r="J56" s="22"/>
      <c r="K56" s="103">
        <v>27</v>
      </c>
    </row>
    <row r="57" spans="2:26" x14ac:dyDescent="0.55000000000000004">
      <c r="H57" s="22"/>
      <c r="I57" s="22"/>
      <c r="J57" s="22"/>
      <c r="K57" s="103">
        <v>28</v>
      </c>
    </row>
    <row r="58" spans="2:26" x14ac:dyDescent="0.55000000000000004">
      <c r="H58" s="22"/>
      <c r="I58" s="22"/>
      <c r="J58" s="22"/>
      <c r="K58" s="103">
        <v>29</v>
      </c>
    </row>
    <row r="59" spans="2:26" x14ac:dyDescent="0.55000000000000004">
      <c r="I59" s="22"/>
      <c r="J59" s="22"/>
      <c r="K59" s="103">
        <v>30</v>
      </c>
    </row>
    <row r="60" spans="2:26" x14ac:dyDescent="0.55000000000000004">
      <c r="H60" s="22"/>
      <c r="I60" s="22"/>
      <c r="J60" s="22"/>
      <c r="K60" s="103">
        <v>31</v>
      </c>
    </row>
    <row r="61" spans="2:26" x14ac:dyDescent="0.55000000000000004">
      <c r="H61" s="22"/>
      <c r="I61" s="22"/>
      <c r="J61" s="22"/>
      <c r="K61" s="103">
        <v>32</v>
      </c>
    </row>
    <row r="62" spans="2:26" x14ac:dyDescent="0.55000000000000004">
      <c r="H62" s="22"/>
      <c r="I62" s="22"/>
      <c r="J62" s="22"/>
      <c r="K62" s="103">
        <v>33</v>
      </c>
    </row>
    <row r="63" spans="2:26" x14ac:dyDescent="0.55000000000000004">
      <c r="B63" s="22"/>
      <c r="C63" s="22"/>
      <c r="D63" s="52"/>
      <c r="E63" s="22"/>
      <c r="F63" s="52"/>
      <c r="G63" s="22"/>
      <c r="H63" s="22"/>
      <c r="I63" s="22"/>
      <c r="J63" s="22"/>
      <c r="K63" s="103">
        <v>34</v>
      </c>
    </row>
    <row r="64" spans="2:26" x14ac:dyDescent="0.55000000000000004">
      <c r="B64" s="22"/>
      <c r="C64" s="22"/>
      <c r="D64" s="22"/>
      <c r="E64" s="22"/>
      <c r="F64" s="52"/>
      <c r="G64" s="22"/>
      <c r="H64" s="22"/>
      <c r="I64" s="22"/>
      <c r="J64" s="22"/>
      <c r="K64" s="103">
        <v>35</v>
      </c>
      <c r="W64" s="22"/>
      <c r="X64" s="22"/>
      <c r="Y64" s="22"/>
      <c r="Z64" s="22"/>
    </row>
    <row r="65" spans="2:26" x14ac:dyDescent="0.55000000000000004">
      <c r="B65" s="22"/>
      <c r="C65" s="22"/>
      <c r="D65" s="22"/>
      <c r="E65" s="22"/>
      <c r="F65" s="52"/>
      <c r="G65" s="22"/>
      <c r="H65" s="22"/>
      <c r="I65" s="22"/>
      <c r="J65" s="22"/>
      <c r="W65" s="22"/>
      <c r="X65" s="22"/>
      <c r="Y65" s="22"/>
      <c r="Z65" s="10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65"/>
  <sheetViews>
    <sheetView showGridLines="0" zoomScale="50" zoomScaleNormal="50" workbookViewId="0">
      <selection activeCell="A34" sqref="A1:T34"/>
    </sheetView>
  </sheetViews>
  <sheetFormatPr defaultColWidth="9.1328125" defaultRowHeight="20.65" x14ac:dyDescent="0.55000000000000004"/>
  <cols>
    <col min="1" max="1" width="9.1328125" style="26"/>
    <col min="2" max="2" width="21.73046875" style="26" customWidth="1"/>
    <col min="3" max="3" width="18.1328125" style="26" customWidth="1"/>
    <col min="4" max="4" width="14.86328125" style="26" bestFit="1" customWidth="1"/>
    <col min="5" max="5" width="9.3984375" style="26" bestFit="1" customWidth="1"/>
    <col min="6" max="6" width="10" style="26" bestFit="1" customWidth="1"/>
    <col min="7" max="7" width="9.1328125" style="26"/>
    <col min="8" max="8" width="18.59765625" style="26" customWidth="1"/>
    <col min="9" max="9" width="11.265625" style="26" bestFit="1" customWidth="1"/>
    <col min="10" max="10" width="11.1328125" style="26" bestFit="1" customWidth="1"/>
    <col min="11" max="11" width="9.265625" style="26" bestFit="1" customWidth="1"/>
    <col min="12" max="12" width="11.73046875" style="26" customWidth="1"/>
    <col min="13" max="13" width="6.265625" style="26" customWidth="1"/>
    <col min="14" max="14" width="12.59765625" style="26" customWidth="1"/>
    <col min="15" max="15" width="18.73046875" style="26" customWidth="1"/>
    <col min="16" max="16" width="13.3984375" style="26" customWidth="1"/>
    <col min="17" max="17" width="9.265625" style="26" bestFit="1" customWidth="1"/>
    <col min="18" max="16384" width="9.1328125" style="26"/>
  </cols>
  <sheetData>
    <row r="1" spans="1:17" x14ac:dyDescent="0.55000000000000004">
      <c r="B1" s="21" t="s">
        <v>50</v>
      </c>
      <c r="C1" s="83" t="s">
        <v>122</v>
      </c>
      <c r="D1" s="22"/>
      <c r="E1" s="22"/>
      <c r="F1" s="23"/>
      <c r="G1" s="24"/>
      <c r="H1" s="24"/>
      <c r="I1" s="24"/>
      <c r="J1" s="25"/>
      <c r="K1" s="22"/>
    </row>
    <row r="2" spans="1:17" x14ac:dyDescent="0.55000000000000004">
      <c r="B2" s="21" t="s">
        <v>51</v>
      </c>
      <c r="C2" s="27">
        <f>+(C4*C5)/12*C3/16</f>
        <v>12</v>
      </c>
      <c r="D2" s="22"/>
      <c r="E2" s="22"/>
      <c r="F2" s="28"/>
      <c r="G2" s="28"/>
      <c r="H2" s="29" t="s">
        <v>54</v>
      </c>
      <c r="I2" s="29"/>
      <c r="J2" s="30" t="s">
        <v>55</v>
      </c>
      <c r="K2" s="30" t="s">
        <v>56</v>
      </c>
      <c r="L2" s="30" t="s">
        <v>57</v>
      </c>
      <c r="M2" s="30"/>
      <c r="N2" s="31" t="s">
        <v>58</v>
      </c>
      <c r="O2" s="32" t="s">
        <v>114</v>
      </c>
      <c r="P2" s="21"/>
      <c r="Q2" s="21"/>
    </row>
    <row r="3" spans="1:17" x14ac:dyDescent="0.55000000000000004">
      <c r="B3" s="21" t="s">
        <v>52</v>
      </c>
      <c r="C3" s="106">
        <v>6</v>
      </c>
      <c r="D3" s="22"/>
      <c r="E3" s="22"/>
      <c r="F3" s="25"/>
      <c r="G3" s="25"/>
      <c r="H3" s="34" t="s">
        <v>118</v>
      </c>
      <c r="I3" s="34"/>
      <c r="J3" s="35">
        <v>500</v>
      </c>
      <c r="K3" s="36">
        <f>+J3/J3</f>
        <v>1</v>
      </c>
      <c r="L3" s="37">
        <v>0.3</v>
      </c>
      <c r="M3" s="38"/>
      <c r="N3" s="39">
        <f t="shared" ref="N3:N15" si="0">+L3*J3</f>
        <v>150</v>
      </c>
      <c r="O3" s="40">
        <f t="shared" ref="O3:O15" si="1">N3/$C$27</f>
        <v>0.24</v>
      </c>
      <c r="P3" s="41"/>
      <c r="Q3" s="34"/>
    </row>
    <row r="4" spans="1:17" x14ac:dyDescent="0.55000000000000004">
      <c r="B4" s="21" t="s">
        <v>53</v>
      </c>
      <c r="C4" s="83">
        <v>8</v>
      </c>
      <c r="D4" s="21"/>
      <c r="E4" s="22"/>
      <c r="F4" s="22"/>
      <c r="G4" s="22"/>
      <c r="H4" s="34"/>
      <c r="I4" s="34"/>
      <c r="J4" s="35"/>
      <c r="K4" s="36"/>
      <c r="L4" s="37"/>
      <c r="M4" s="38"/>
      <c r="N4" s="39">
        <f>+L4*J4</f>
        <v>0</v>
      </c>
      <c r="O4" s="40">
        <f t="shared" si="1"/>
        <v>0</v>
      </c>
      <c r="P4" s="34"/>
      <c r="Q4" s="34"/>
    </row>
    <row r="5" spans="1:17" x14ac:dyDescent="0.55000000000000004">
      <c r="B5" s="21" t="s">
        <v>85</v>
      </c>
      <c r="C5" s="83">
        <v>48</v>
      </c>
      <c r="D5" s="22"/>
      <c r="E5" s="22"/>
      <c r="F5" s="22"/>
      <c r="G5" s="22"/>
      <c r="H5" s="34"/>
      <c r="I5" s="34"/>
      <c r="J5" s="35"/>
      <c r="K5" s="36"/>
      <c r="L5" s="37"/>
      <c r="M5" s="38"/>
      <c r="N5" s="39">
        <f t="shared" si="0"/>
        <v>0</v>
      </c>
      <c r="O5" s="40">
        <f t="shared" si="1"/>
        <v>0</v>
      </c>
      <c r="P5" s="44"/>
      <c r="Q5" s="45"/>
    </row>
    <row r="6" spans="1:17" x14ac:dyDescent="0.55000000000000004">
      <c r="H6" s="34" t="s">
        <v>87</v>
      </c>
      <c r="I6" s="34"/>
      <c r="J6" s="35">
        <v>200</v>
      </c>
      <c r="K6" s="36">
        <f>+J6/J$3</f>
        <v>0.4</v>
      </c>
      <c r="L6" s="37">
        <v>0</v>
      </c>
      <c r="M6" s="38"/>
      <c r="N6" s="39">
        <f t="shared" si="0"/>
        <v>0</v>
      </c>
      <c r="O6" s="40">
        <f t="shared" si="1"/>
        <v>0</v>
      </c>
      <c r="P6" s="41"/>
      <c r="Q6" s="34"/>
    </row>
    <row r="7" spans="1:17" x14ac:dyDescent="0.55000000000000004">
      <c r="A7" s="22" t="s">
        <v>8</v>
      </c>
      <c r="B7" s="22"/>
      <c r="C7" s="33">
        <f>+'Base '!D18</f>
        <v>1500000</v>
      </c>
      <c r="D7" s="22"/>
      <c r="E7" s="22"/>
      <c r="F7" s="22"/>
      <c r="H7" s="46"/>
      <c r="I7" s="34"/>
      <c r="J7" s="35">
        <v>0</v>
      </c>
      <c r="K7" s="36">
        <f>+J7/J$3</f>
        <v>0</v>
      </c>
      <c r="L7" s="37">
        <v>0.55000000000000004</v>
      </c>
      <c r="M7" s="38"/>
      <c r="N7" s="39">
        <f t="shared" si="0"/>
        <v>0</v>
      </c>
      <c r="O7" s="40">
        <f t="shared" si="1"/>
        <v>0</v>
      </c>
      <c r="P7" s="34"/>
      <c r="Q7" s="34"/>
    </row>
    <row r="8" spans="1:17" x14ac:dyDescent="0.55000000000000004">
      <c r="A8" s="22" t="s">
        <v>73</v>
      </c>
      <c r="B8" s="22"/>
      <c r="C8" s="42">
        <v>52</v>
      </c>
      <c r="D8" s="22"/>
      <c r="E8" s="22"/>
      <c r="F8" s="22"/>
      <c r="H8" s="34" t="s">
        <v>89</v>
      </c>
      <c r="I8" s="34"/>
      <c r="J8" s="35">
        <v>5</v>
      </c>
      <c r="K8" s="36">
        <f>+J8/J$3</f>
        <v>0.01</v>
      </c>
      <c r="L8" s="37">
        <v>2</v>
      </c>
      <c r="M8" s="38"/>
      <c r="N8" s="39">
        <f t="shared" si="0"/>
        <v>10</v>
      </c>
      <c r="O8" s="40">
        <f t="shared" si="1"/>
        <v>1.6E-2</v>
      </c>
      <c r="P8" s="34"/>
      <c r="Q8" s="34"/>
    </row>
    <row r="9" spans="1:17" x14ac:dyDescent="0.55000000000000004">
      <c r="A9" s="22" t="s">
        <v>74</v>
      </c>
      <c r="B9" s="22"/>
      <c r="C9" s="43">
        <f>C7/C8</f>
        <v>28846.153846153848</v>
      </c>
      <c r="D9" s="22"/>
      <c r="E9" s="34"/>
      <c r="F9" s="22"/>
      <c r="H9" s="34"/>
      <c r="I9" s="34"/>
      <c r="J9" s="35">
        <v>0</v>
      </c>
      <c r="K9" s="36">
        <f>+J9/J$3</f>
        <v>0</v>
      </c>
      <c r="L9" s="37">
        <v>1</v>
      </c>
      <c r="M9" s="38"/>
      <c r="N9" s="39">
        <f t="shared" si="0"/>
        <v>0</v>
      </c>
      <c r="O9" s="40">
        <f t="shared" si="1"/>
        <v>0</v>
      </c>
      <c r="P9" s="34"/>
      <c r="Q9" s="49"/>
    </row>
    <row r="10" spans="1:17" x14ac:dyDescent="0.55000000000000004">
      <c r="A10" s="22" t="s">
        <v>75</v>
      </c>
      <c r="B10" s="22"/>
      <c r="C10" s="43">
        <f>C7/C16</f>
        <v>1646.0905349794239</v>
      </c>
      <c r="D10" s="22"/>
      <c r="E10" s="22"/>
      <c r="F10" s="22"/>
      <c r="H10" s="34" t="s">
        <v>90</v>
      </c>
      <c r="I10" s="34"/>
      <c r="J10" s="35"/>
      <c r="K10" s="36">
        <f>+J10/J$3</f>
        <v>0</v>
      </c>
      <c r="L10" s="37"/>
      <c r="M10" s="38"/>
      <c r="N10" s="39">
        <f t="shared" si="0"/>
        <v>0</v>
      </c>
      <c r="O10" s="40">
        <f t="shared" si="1"/>
        <v>0</v>
      </c>
      <c r="P10" s="34"/>
      <c r="Q10" s="49"/>
    </row>
    <row r="11" spans="1:17" x14ac:dyDescent="0.55000000000000004">
      <c r="A11" s="22" t="s">
        <v>76</v>
      </c>
      <c r="B11" s="22"/>
      <c r="C11" s="43">
        <f>+C7/C17</f>
        <v>1481.4814814814815</v>
      </c>
      <c r="D11" s="22"/>
      <c r="E11" s="22"/>
      <c r="F11" s="22"/>
      <c r="H11" s="46"/>
      <c r="I11" s="34"/>
      <c r="J11" s="35"/>
      <c r="K11" s="36"/>
      <c r="L11" s="37"/>
      <c r="M11" s="38"/>
      <c r="N11" s="39">
        <f t="shared" si="0"/>
        <v>0</v>
      </c>
      <c r="O11" s="40">
        <f t="shared" si="1"/>
        <v>0</v>
      </c>
      <c r="P11" s="34"/>
      <c r="Q11" s="49"/>
    </row>
    <row r="12" spans="1:17" x14ac:dyDescent="0.55000000000000004">
      <c r="A12" s="34" t="s">
        <v>100</v>
      </c>
      <c r="B12" s="34"/>
      <c r="C12" s="45">
        <f>+C11/C8</f>
        <v>28.490028490028489</v>
      </c>
      <c r="D12" s="34"/>
      <c r="E12" s="34"/>
      <c r="F12" s="34"/>
      <c r="H12" s="46"/>
      <c r="I12" s="34"/>
      <c r="J12" s="35"/>
      <c r="K12" s="36"/>
      <c r="L12" s="37"/>
      <c r="M12" s="38"/>
      <c r="N12" s="39">
        <f t="shared" si="0"/>
        <v>0</v>
      </c>
      <c r="O12" s="40">
        <f t="shared" si="1"/>
        <v>0</v>
      </c>
      <c r="P12" s="34"/>
      <c r="Q12" s="49"/>
    </row>
    <row r="13" spans="1:17" x14ac:dyDescent="0.55000000000000004">
      <c r="A13" s="48" t="s">
        <v>117</v>
      </c>
      <c r="B13" s="34"/>
      <c r="C13" s="47">
        <v>12</v>
      </c>
      <c r="D13" s="34"/>
      <c r="E13" s="34"/>
      <c r="F13" s="34"/>
      <c r="H13" s="34"/>
      <c r="I13" s="34"/>
      <c r="J13" s="35"/>
      <c r="K13" s="36"/>
      <c r="L13" s="37"/>
      <c r="M13" s="38"/>
      <c r="N13" s="39">
        <f>+L13*I13</f>
        <v>0</v>
      </c>
      <c r="O13" s="40">
        <f t="shared" si="1"/>
        <v>0</v>
      </c>
      <c r="P13" s="34"/>
      <c r="Q13" s="49"/>
    </row>
    <row r="14" spans="1:17" x14ac:dyDescent="0.55000000000000004">
      <c r="A14" s="48" t="s">
        <v>102</v>
      </c>
      <c r="B14" s="22"/>
      <c r="C14" s="50">
        <v>45</v>
      </c>
      <c r="D14" s="22"/>
      <c r="E14" s="22"/>
      <c r="F14" s="22"/>
      <c r="H14" s="34"/>
      <c r="I14" s="34"/>
      <c r="J14" s="35"/>
      <c r="K14" s="36"/>
      <c r="L14" s="37"/>
      <c r="M14" s="38"/>
      <c r="N14" s="39">
        <f t="shared" si="0"/>
        <v>0</v>
      </c>
      <c r="O14" s="40">
        <f t="shared" si="1"/>
        <v>0</v>
      </c>
      <c r="P14" s="34"/>
      <c r="Q14" s="49"/>
    </row>
    <row r="15" spans="1:17" x14ac:dyDescent="0.55000000000000004">
      <c r="A15" s="22" t="s">
        <v>103</v>
      </c>
      <c r="B15" s="22"/>
      <c r="C15" s="107">
        <f>+C13*C14</f>
        <v>540</v>
      </c>
      <c r="D15" s="22"/>
      <c r="E15" s="22" t="s">
        <v>77</v>
      </c>
      <c r="F15" s="22"/>
      <c r="H15" s="34"/>
      <c r="I15" s="34"/>
      <c r="J15" s="53"/>
      <c r="K15" s="54"/>
      <c r="L15" s="55"/>
      <c r="M15" s="56"/>
      <c r="N15" s="57">
        <f t="shared" si="0"/>
        <v>0</v>
      </c>
      <c r="O15" s="40">
        <f t="shared" si="1"/>
        <v>0</v>
      </c>
      <c r="P15" s="34"/>
      <c r="Q15" s="49"/>
    </row>
    <row r="16" spans="1:17" x14ac:dyDescent="0.55000000000000004">
      <c r="A16" s="22" t="s">
        <v>78</v>
      </c>
      <c r="B16" s="22"/>
      <c r="C16" s="45">
        <f>+C17*C18</f>
        <v>911.25</v>
      </c>
      <c r="D16" s="34"/>
      <c r="E16" s="51"/>
      <c r="F16" s="34"/>
      <c r="H16" s="34"/>
      <c r="I16" s="34"/>
      <c r="J16" s="58"/>
      <c r="K16" s="36"/>
      <c r="L16" s="37"/>
      <c r="M16" s="38"/>
      <c r="N16" s="39"/>
      <c r="O16" s="40"/>
      <c r="P16" s="34"/>
      <c r="Q16" s="49"/>
    </row>
    <row r="17" spans="1:17" ht="23.25" thickBot="1" x14ac:dyDescent="0.9">
      <c r="A17" s="22" t="s">
        <v>79</v>
      </c>
      <c r="B17" s="22"/>
      <c r="C17" s="45">
        <f>+C15/12*C3/16*60</f>
        <v>1012.5</v>
      </c>
      <c r="D17" s="22"/>
      <c r="E17" s="52">
        <f>+C17/C2/60</f>
        <v>1.40625</v>
      </c>
      <c r="F17" s="22"/>
      <c r="H17" s="22" t="s">
        <v>60</v>
      </c>
      <c r="I17" s="22"/>
      <c r="J17" s="60">
        <f>SUM(J3:J16)</f>
        <v>705</v>
      </c>
      <c r="K17" s="36"/>
      <c r="L17" s="61"/>
      <c r="M17" s="61"/>
      <c r="N17" s="62">
        <f>SUM(N3:N15)</f>
        <v>160</v>
      </c>
      <c r="O17" s="40">
        <f>N17/$C$27</f>
        <v>0.25600000000000001</v>
      </c>
      <c r="P17" s="22"/>
      <c r="Q17" s="63"/>
    </row>
    <row r="18" spans="1:17" ht="23.25" thickTop="1" x14ac:dyDescent="0.85">
      <c r="A18" s="22" t="s">
        <v>80</v>
      </c>
      <c r="B18" s="22"/>
      <c r="C18" s="46">
        <v>0.9</v>
      </c>
      <c r="D18" s="22"/>
      <c r="E18" s="52"/>
      <c r="F18" s="22" t="s">
        <v>59</v>
      </c>
      <c r="H18" s="22"/>
      <c r="I18" s="22"/>
      <c r="J18" s="63"/>
      <c r="K18" s="65"/>
      <c r="L18" s="61"/>
      <c r="M18" s="61"/>
      <c r="N18" s="66"/>
      <c r="O18" s="67"/>
      <c r="P18" s="22"/>
      <c r="Q18" s="63"/>
    </row>
    <row r="19" spans="1:17" ht="21" thickBot="1" x14ac:dyDescent="0.6">
      <c r="A19" s="22" t="s">
        <v>81</v>
      </c>
      <c r="B19" s="22"/>
      <c r="C19" s="45">
        <f>C17/C20</f>
        <v>126.5625</v>
      </c>
      <c r="D19" s="22"/>
      <c r="E19" s="52"/>
      <c r="F19" s="22"/>
      <c r="H19" s="22"/>
      <c r="I19" s="22"/>
      <c r="J19" s="71" t="s">
        <v>62</v>
      </c>
      <c r="K19" s="71"/>
      <c r="L19" s="71" t="s">
        <v>63</v>
      </c>
      <c r="M19" s="71"/>
      <c r="N19" s="72" t="s">
        <v>64</v>
      </c>
      <c r="O19" s="22"/>
      <c r="P19" s="22"/>
      <c r="Q19" s="73"/>
    </row>
    <row r="20" spans="1:17" x14ac:dyDescent="0.55000000000000004">
      <c r="A20" s="22" t="s">
        <v>82</v>
      </c>
      <c r="B20" s="22"/>
      <c r="C20" s="47">
        <v>8</v>
      </c>
      <c r="D20" s="22"/>
      <c r="E20" s="52"/>
      <c r="F20" s="22"/>
      <c r="H20" s="22" t="s">
        <v>54</v>
      </c>
      <c r="I20" s="22"/>
      <c r="J20" s="74">
        <f>N20*$C$2</f>
        <v>3.0720000000000001</v>
      </c>
      <c r="K20" s="74"/>
      <c r="L20" s="75">
        <f>J20/$C$4</f>
        <v>0.38400000000000001</v>
      </c>
      <c r="M20" s="74"/>
      <c r="N20" s="76">
        <f>+N17/C27</f>
        <v>0.25600000000000001</v>
      </c>
      <c r="O20" s="22"/>
      <c r="P20" s="22"/>
      <c r="Q20" s="73"/>
    </row>
    <row r="21" spans="1:17" x14ac:dyDescent="0.55000000000000004">
      <c r="A21" s="22" t="s">
        <v>83</v>
      </c>
      <c r="B21" s="22"/>
      <c r="C21" s="59">
        <v>12</v>
      </c>
      <c r="D21" s="22"/>
      <c r="F21" s="22"/>
      <c r="H21" s="22"/>
      <c r="I21" s="22"/>
      <c r="J21" s="77"/>
      <c r="K21" s="77"/>
      <c r="L21" s="78"/>
      <c r="M21" s="77"/>
      <c r="N21" s="79"/>
      <c r="O21" s="22"/>
      <c r="P21" s="22"/>
      <c r="Q21" s="73"/>
    </row>
    <row r="22" spans="1:17" x14ac:dyDescent="0.55000000000000004">
      <c r="A22" s="22" t="s">
        <v>84</v>
      </c>
      <c r="B22" s="22"/>
      <c r="C22" s="64">
        <f>+C17/C2*C4/60</f>
        <v>11.25</v>
      </c>
      <c r="D22" s="22"/>
      <c r="E22" s="52"/>
      <c r="F22" s="22"/>
      <c r="H22" s="22" t="s">
        <v>65</v>
      </c>
      <c r="I22" s="22"/>
      <c r="J22" s="66">
        <f>+N22*C$2</f>
        <v>1.1377777777777778</v>
      </c>
      <c r="K22" s="61"/>
      <c r="L22" s="80">
        <f>+J22/C$4</f>
        <v>0.14222222222222222</v>
      </c>
      <c r="M22" s="61"/>
      <c r="N22" s="81">
        <f>C21/C19</f>
        <v>9.481481481481481E-2</v>
      </c>
      <c r="O22" s="22"/>
      <c r="P22" s="30" t="s">
        <v>119</v>
      </c>
      <c r="Q22" s="30"/>
    </row>
    <row r="23" spans="1:17" x14ac:dyDescent="0.55000000000000004">
      <c r="A23" s="22" t="s">
        <v>104</v>
      </c>
      <c r="B23" s="22"/>
      <c r="C23" s="68">
        <f>C7/52</f>
        <v>28846.153846153848</v>
      </c>
      <c r="D23" s="22"/>
      <c r="E23" s="52"/>
      <c r="F23" s="22"/>
      <c r="H23" s="22" t="s">
        <v>48</v>
      </c>
      <c r="I23" s="22"/>
      <c r="J23" s="66">
        <f>+N23*C$2</f>
        <v>0.79277978339350175</v>
      </c>
      <c r="K23" s="61"/>
      <c r="L23" s="80">
        <f>+J23/C$4</f>
        <v>9.9097472924187718E-2</v>
      </c>
      <c r="M23" s="61"/>
      <c r="N23" s="81">
        <f>+P23/C$17</f>
        <v>6.6064981949458479E-2</v>
      </c>
      <c r="O23" s="22"/>
      <c r="P23" s="82">
        <f>+'Indirect Labor'!I9</f>
        <v>66.890794223826717</v>
      </c>
      <c r="Q23" s="22" t="s">
        <v>126</v>
      </c>
    </row>
    <row r="24" spans="1:17" x14ac:dyDescent="0.55000000000000004">
      <c r="H24" s="22" t="s">
        <v>66</v>
      </c>
      <c r="I24" s="22"/>
      <c r="J24" s="66">
        <f>+N24*C$2</f>
        <v>0.75379061371841138</v>
      </c>
      <c r="K24" s="61"/>
      <c r="L24" s="80">
        <f>+J24/C$4</f>
        <v>9.4223826714801423E-2</v>
      </c>
      <c r="M24" s="61"/>
      <c r="N24" s="81">
        <f>+P24/C$17</f>
        <v>6.2815884476534287E-2</v>
      </c>
      <c r="O24" s="83"/>
      <c r="P24" s="82">
        <f>+'Variable Cost'!I11</f>
        <v>63.601083032490969</v>
      </c>
      <c r="Q24" s="22" t="s">
        <v>124</v>
      </c>
    </row>
    <row r="25" spans="1:17" x14ac:dyDescent="0.55000000000000004">
      <c r="H25" s="22" t="s">
        <v>67</v>
      </c>
      <c r="I25" s="22"/>
      <c r="J25" s="66">
        <f>+N25*C$2</f>
        <v>1.7068282619907169</v>
      </c>
      <c r="K25" s="61"/>
      <c r="L25" s="80">
        <f>+J25/C$4</f>
        <v>0.21335353274883961</v>
      </c>
      <c r="M25" s="61"/>
      <c r="N25" s="81">
        <f>+P25/C$17</f>
        <v>0.14223568849922641</v>
      </c>
      <c r="O25" s="22"/>
      <c r="P25" s="82">
        <f>+'Fixed Cost'!O20</f>
        <v>144.01363460546673</v>
      </c>
      <c r="Q25" s="22" t="s">
        <v>125</v>
      </c>
    </row>
    <row r="26" spans="1:17" x14ac:dyDescent="0.55000000000000004">
      <c r="A26" s="22" t="s">
        <v>61</v>
      </c>
      <c r="B26" s="22"/>
      <c r="C26" s="69">
        <v>0.05</v>
      </c>
      <c r="D26" s="65"/>
      <c r="H26" s="84" t="s">
        <v>68</v>
      </c>
      <c r="I26" s="22"/>
      <c r="J26" s="85">
        <f>SUM(J22:J25)</f>
        <v>4.391176436880408</v>
      </c>
      <c r="K26" s="86"/>
      <c r="L26" s="87">
        <f>SUM(L22:L25)</f>
        <v>0.54889705461005101</v>
      </c>
      <c r="M26" s="86"/>
      <c r="N26" s="88">
        <f>SUM(N22:N25)</f>
        <v>0.36593136974003398</v>
      </c>
      <c r="O26" s="22"/>
      <c r="P26" s="22"/>
      <c r="Q26" s="22"/>
    </row>
    <row r="27" spans="1:17" x14ac:dyDescent="0.55000000000000004">
      <c r="A27" s="22" t="s">
        <v>120</v>
      </c>
      <c r="B27" s="22"/>
      <c r="C27" s="63">
        <f>+C29*(J3)</f>
        <v>625</v>
      </c>
      <c r="D27" s="63"/>
      <c r="H27" s="22" t="s">
        <v>69</v>
      </c>
      <c r="I27" s="104" t="s">
        <v>70</v>
      </c>
      <c r="J27" s="66"/>
      <c r="K27" s="61"/>
      <c r="L27" s="80"/>
      <c r="M27" s="61"/>
      <c r="N27" s="81"/>
      <c r="O27" s="22"/>
      <c r="P27" s="22"/>
      <c r="Q27" s="22"/>
    </row>
    <row r="28" spans="1:17" x14ac:dyDescent="0.55000000000000004">
      <c r="A28" s="22" t="s">
        <v>92</v>
      </c>
      <c r="B28" s="22"/>
      <c r="C28" s="70">
        <v>1.3</v>
      </c>
      <c r="D28" s="63"/>
      <c r="H28" s="105" t="s">
        <v>106</v>
      </c>
      <c r="I28" s="34">
        <v>1</v>
      </c>
      <c r="J28" s="59">
        <v>0.5</v>
      </c>
      <c r="K28" s="39"/>
      <c r="L28" s="89">
        <f>+J28/C4</f>
        <v>6.25E-2</v>
      </c>
      <c r="M28" s="39"/>
      <c r="N28" s="40">
        <f>+J28/C2</f>
        <v>4.1666666666666664E-2</v>
      </c>
      <c r="O28" s="22"/>
      <c r="P28" s="22"/>
      <c r="Q28" s="22"/>
    </row>
    <row r="29" spans="1:17" x14ac:dyDescent="0.55000000000000004">
      <c r="A29" s="22" t="s">
        <v>121</v>
      </c>
      <c r="B29" s="22"/>
      <c r="C29" s="108">
        <f>+C28-C26</f>
        <v>1.25</v>
      </c>
      <c r="D29" s="22"/>
      <c r="H29" s="105" t="s">
        <v>107</v>
      </c>
      <c r="I29" s="34">
        <f>+C4</f>
        <v>8</v>
      </c>
      <c r="J29" s="39">
        <f>L29*C4</f>
        <v>0.36</v>
      </c>
      <c r="K29" s="39"/>
      <c r="L29" s="90">
        <v>4.4999999999999998E-2</v>
      </c>
      <c r="M29" s="39"/>
      <c r="N29" s="40">
        <f>+(L29*C4)/C2</f>
        <v>0.03</v>
      </c>
      <c r="O29" s="22"/>
      <c r="P29" s="22"/>
      <c r="Q29" s="22"/>
    </row>
    <row r="30" spans="1:17" x14ac:dyDescent="0.55000000000000004">
      <c r="H30" s="91" t="s">
        <v>71</v>
      </c>
      <c r="I30" s="34"/>
      <c r="J30" s="92">
        <f>SUM(J28:J29)</f>
        <v>0.86</v>
      </c>
      <c r="K30" s="93"/>
      <c r="L30" s="94">
        <f>SUM(L28:L29)</f>
        <v>0.1075</v>
      </c>
      <c r="M30" s="93"/>
      <c r="N30" s="95">
        <f>SUM(N28:N29)</f>
        <v>7.1666666666666656E-2</v>
      </c>
      <c r="O30" s="22"/>
      <c r="P30" s="22"/>
      <c r="Q30" s="22"/>
    </row>
    <row r="31" spans="1:17" x14ac:dyDescent="0.55000000000000004">
      <c r="H31" s="34"/>
      <c r="I31" s="34"/>
      <c r="J31" s="39"/>
      <c r="K31" s="38"/>
      <c r="L31" s="89"/>
      <c r="M31" s="38"/>
      <c r="N31" s="40"/>
      <c r="O31" s="22"/>
      <c r="P31" s="22" t="s">
        <v>105</v>
      </c>
      <c r="Q31" s="22"/>
    </row>
    <row r="32" spans="1:17" x14ac:dyDescent="0.55000000000000004">
      <c r="H32" s="96" t="s">
        <v>72</v>
      </c>
      <c r="I32" s="22"/>
      <c r="J32" s="85">
        <f>J20+J26+J30</f>
        <v>8.3231764368804075</v>
      </c>
      <c r="K32" s="86"/>
      <c r="L32" s="87">
        <f>L20+L26+L30</f>
        <v>1.0403970546100509</v>
      </c>
      <c r="M32" s="86"/>
      <c r="N32" s="88">
        <f>N20+N26+N30</f>
        <v>0.69359803640670059</v>
      </c>
      <c r="O32" s="22"/>
      <c r="P32" s="81">
        <f>+L32/C5</f>
        <v>2.1674938637709393E-2</v>
      </c>
      <c r="Q32" s="22"/>
    </row>
    <row r="33" spans="8:17" x14ac:dyDescent="0.55000000000000004">
      <c r="H33" s="96"/>
      <c r="I33" s="22"/>
      <c r="J33" s="97"/>
      <c r="K33" s="98"/>
      <c r="L33" s="99"/>
      <c r="M33" s="98"/>
      <c r="N33" s="100"/>
      <c r="O33" s="22"/>
      <c r="P33" s="22" t="s">
        <v>123</v>
      </c>
      <c r="Q33" s="22"/>
    </row>
    <row r="34" spans="8:17" x14ac:dyDescent="0.55000000000000004">
      <c r="P34" s="81">
        <f>+P32/4</f>
        <v>5.4187346594273484E-3</v>
      </c>
    </row>
    <row r="47" spans="8:17" x14ac:dyDescent="0.55000000000000004">
      <c r="H47" s="22"/>
      <c r="I47" s="22"/>
      <c r="J47" s="22"/>
      <c r="K47" s="102"/>
    </row>
    <row r="48" spans="8:17" x14ac:dyDescent="0.55000000000000004">
      <c r="H48" s="22"/>
      <c r="I48" s="22"/>
      <c r="J48" s="22"/>
      <c r="K48" s="22"/>
    </row>
    <row r="49" spans="2:26" x14ac:dyDescent="0.55000000000000004">
      <c r="I49" s="22"/>
      <c r="J49" s="22"/>
      <c r="K49" s="22"/>
    </row>
    <row r="50" spans="2:26" x14ac:dyDescent="0.55000000000000004">
      <c r="H50" s="34"/>
      <c r="I50" s="34"/>
      <c r="J50" s="34"/>
      <c r="K50" s="22"/>
    </row>
    <row r="51" spans="2:26" x14ac:dyDescent="0.55000000000000004">
      <c r="H51" s="34"/>
      <c r="I51" s="34"/>
      <c r="J51" s="34"/>
      <c r="K51" s="22"/>
    </row>
    <row r="52" spans="2:26" x14ac:dyDescent="0.55000000000000004">
      <c r="H52" s="22"/>
      <c r="I52" s="22"/>
      <c r="J52" s="22"/>
      <c r="K52" s="103">
        <v>36</v>
      </c>
    </row>
    <row r="53" spans="2:26" x14ac:dyDescent="0.55000000000000004">
      <c r="H53" s="22"/>
      <c r="I53" s="22"/>
      <c r="J53" s="22"/>
      <c r="K53" s="103">
        <v>24</v>
      </c>
    </row>
    <row r="54" spans="2:26" x14ac:dyDescent="0.55000000000000004">
      <c r="H54" s="34"/>
      <c r="I54" s="34"/>
      <c r="J54" s="22"/>
      <c r="K54" s="103">
        <v>25</v>
      </c>
    </row>
    <row r="55" spans="2:26" x14ac:dyDescent="0.55000000000000004">
      <c r="H55" s="34"/>
      <c r="I55" s="34"/>
      <c r="J55" s="22"/>
      <c r="K55" s="103">
        <v>26</v>
      </c>
    </row>
    <row r="56" spans="2:26" x14ac:dyDescent="0.55000000000000004">
      <c r="I56" s="22"/>
      <c r="J56" s="22"/>
      <c r="K56" s="103">
        <v>27</v>
      </c>
    </row>
    <row r="57" spans="2:26" x14ac:dyDescent="0.55000000000000004">
      <c r="H57" s="22"/>
      <c r="I57" s="22"/>
      <c r="J57" s="22"/>
      <c r="K57" s="103">
        <v>28</v>
      </c>
    </row>
    <row r="58" spans="2:26" x14ac:dyDescent="0.55000000000000004">
      <c r="H58" s="22"/>
      <c r="I58" s="22"/>
      <c r="J58" s="22"/>
      <c r="K58" s="103">
        <v>29</v>
      </c>
    </row>
    <row r="59" spans="2:26" x14ac:dyDescent="0.55000000000000004">
      <c r="I59" s="22"/>
      <c r="J59" s="22"/>
      <c r="K59" s="103">
        <v>30</v>
      </c>
    </row>
    <row r="60" spans="2:26" x14ac:dyDescent="0.55000000000000004">
      <c r="H60" s="22"/>
      <c r="I60" s="22"/>
      <c r="J60" s="22"/>
      <c r="K60" s="103">
        <v>31</v>
      </c>
    </row>
    <row r="61" spans="2:26" x14ac:dyDescent="0.55000000000000004">
      <c r="H61" s="22"/>
      <c r="I61" s="22"/>
      <c r="J61" s="22"/>
      <c r="K61" s="103">
        <v>32</v>
      </c>
    </row>
    <row r="62" spans="2:26" x14ac:dyDescent="0.55000000000000004">
      <c r="H62" s="22"/>
      <c r="I62" s="22"/>
      <c r="J62" s="22"/>
      <c r="K62" s="103">
        <v>33</v>
      </c>
    </row>
    <row r="63" spans="2:26" x14ac:dyDescent="0.55000000000000004">
      <c r="B63" s="22"/>
      <c r="C63" s="22"/>
      <c r="D63" s="52"/>
      <c r="E63" s="22"/>
      <c r="F63" s="52"/>
      <c r="G63" s="22"/>
      <c r="H63" s="22"/>
      <c r="I63" s="22"/>
      <c r="J63" s="22"/>
      <c r="K63" s="103">
        <v>34</v>
      </c>
    </row>
    <row r="64" spans="2:26" x14ac:dyDescent="0.55000000000000004">
      <c r="B64" s="22"/>
      <c r="C64" s="22"/>
      <c r="D64" s="22"/>
      <c r="E64" s="22"/>
      <c r="F64" s="52"/>
      <c r="G64" s="22"/>
      <c r="H64" s="22"/>
      <c r="I64" s="22"/>
      <c r="J64" s="22"/>
      <c r="K64" s="103">
        <v>35</v>
      </c>
      <c r="W64" s="22"/>
      <c r="X64" s="22"/>
      <c r="Y64" s="22"/>
      <c r="Z64" s="22"/>
    </row>
    <row r="65" spans="2:26" x14ac:dyDescent="0.55000000000000004">
      <c r="B65" s="22"/>
      <c r="C65" s="22"/>
      <c r="D65" s="22"/>
      <c r="E65" s="22"/>
      <c r="F65" s="52"/>
      <c r="G65" s="22"/>
      <c r="H65" s="22"/>
      <c r="I65" s="22"/>
      <c r="J65" s="22"/>
      <c r="W65" s="22"/>
      <c r="X65" s="22"/>
      <c r="Y65" s="22"/>
      <c r="Z65" s="10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65"/>
  <sheetViews>
    <sheetView showGridLines="0" workbookViewId="0">
      <selection activeCell="E8" sqref="E8"/>
    </sheetView>
  </sheetViews>
  <sheetFormatPr defaultColWidth="9.1328125" defaultRowHeight="20.65" x14ac:dyDescent="0.55000000000000004"/>
  <cols>
    <col min="1" max="1" width="9.1328125" style="26"/>
    <col min="2" max="2" width="21.73046875" style="26" customWidth="1"/>
    <col min="3" max="3" width="18.1328125" style="26" customWidth="1"/>
    <col min="4" max="4" width="14.86328125" style="26" bestFit="1" customWidth="1"/>
    <col min="5" max="5" width="9.3984375" style="26" bestFit="1" customWidth="1"/>
    <col min="6" max="6" width="10" style="26" bestFit="1" customWidth="1"/>
    <col min="7" max="7" width="9.1328125" style="26"/>
    <col min="8" max="8" width="19.86328125" style="26" customWidth="1"/>
    <col min="9" max="9" width="16.1328125" style="26" bestFit="1" customWidth="1"/>
    <col min="10" max="10" width="11.265625" style="26" bestFit="1" customWidth="1"/>
    <col min="11" max="11" width="9.86328125" style="26" bestFit="1" customWidth="1"/>
    <col min="12" max="12" width="11.73046875" style="26" customWidth="1"/>
    <col min="13" max="13" width="6" style="26" customWidth="1"/>
    <col min="14" max="14" width="11.3984375" style="26" customWidth="1"/>
    <col min="15" max="15" width="18.73046875" style="26" customWidth="1"/>
    <col min="16" max="16" width="13.3984375" style="26" customWidth="1"/>
    <col min="17" max="17" width="9.265625" style="26" bestFit="1" customWidth="1"/>
    <col min="18" max="16384" width="9.1328125" style="26"/>
  </cols>
  <sheetData>
    <row r="1" spans="1:17" x14ac:dyDescent="0.55000000000000004">
      <c r="B1" s="21" t="s">
        <v>50</v>
      </c>
      <c r="C1" s="83" t="s">
        <v>99</v>
      </c>
      <c r="D1" s="22"/>
      <c r="E1" s="22" t="s">
        <v>132</v>
      </c>
      <c r="F1" s="23"/>
      <c r="G1" s="24"/>
      <c r="H1" s="24"/>
      <c r="I1" s="24"/>
      <c r="J1" s="25"/>
      <c r="K1" s="22"/>
    </row>
    <row r="2" spans="1:17" x14ac:dyDescent="0.55000000000000004">
      <c r="B2" s="21" t="s">
        <v>51</v>
      </c>
      <c r="C2" s="27">
        <f>+(C4*C5)/12*C3/16</f>
        <v>15.625</v>
      </c>
      <c r="D2" s="22"/>
      <c r="E2" s="22"/>
      <c r="F2" s="28"/>
      <c r="G2" s="28"/>
      <c r="H2" s="29" t="s">
        <v>54</v>
      </c>
      <c r="I2" s="29"/>
      <c r="J2" s="30" t="s">
        <v>55</v>
      </c>
      <c r="K2" s="30" t="s">
        <v>56</v>
      </c>
      <c r="L2" s="30" t="s">
        <v>57</v>
      </c>
      <c r="M2" s="30"/>
      <c r="N2" s="31" t="s">
        <v>58</v>
      </c>
      <c r="O2" s="32" t="s">
        <v>113</v>
      </c>
      <c r="P2" s="21"/>
      <c r="Q2" s="21"/>
    </row>
    <row r="3" spans="1:17" x14ac:dyDescent="0.55000000000000004">
      <c r="B3" s="21" t="s">
        <v>52</v>
      </c>
      <c r="C3" s="106">
        <v>12.5</v>
      </c>
      <c r="D3" s="22"/>
      <c r="E3" s="22"/>
      <c r="F3" s="25"/>
      <c r="G3" s="25"/>
      <c r="H3" s="34" t="s">
        <v>86</v>
      </c>
      <c r="I3" s="34"/>
      <c r="J3" s="35">
        <v>300</v>
      </c>
      <c r="K3" s="36">
        <f>+J3/J3</f>
        <v>1</v>
      </c>
      <c r="L3" s="37">
        <v>0.18</v>
      </c>
      <c r="M3" s="38"/>
      <c r="N3" s="39">
        <f t="shared" ref="N3:N15" si="0">+L3*J3</f>
        <v>54</v>
      </c>
      <c r="O3" s="40">
        <f t="shared" ref="O3:O15" si="1">N3/$C$27</f>
        <v>0.12328767123287671</v>
      </c>
      <c r="P3" s="41"/>
      <c r="Q3" s="34"/>
    </row>
    <row r="4" spans="1:17" x14ac:dyDescent="0.55000000000000004">
      <c r="B4" s="21" t="s">
        <v>53</v>
      </c>
      <c r="C4" s="83">
        <v>20</v>
      </c>
      <c r="D4" s="21"/>
      <c r="E4" s="22"/>
      <c r="F4" s="22"/>
      <c r="G4" s="22"/>
      <c r="H4" s="34"/>
      <c r="I4" s="34"/>
      <c r="J4" s="35"/>
      <c r="K4" s="36"/>
      <c r="L4" s="37"/>
      <c r="M4" s="38"/>
      <c r="N4" s="39">
        <f>+L4*J4</f>
        <v>0</v>
      </c>
      <c r="O4" s="40">
        <f t="shared" si="1"/>
        <v>0</v>
      </c>
      <c r="P4" s="34"/>
      <c r="Q4" s="34"/>
    </row>
    <row r="5" spans="1:17" x14ac:dyDescent="0.55000000000000004">
      <c r="B5" s="21" t="s">
        <v>85</v>
      </c>
      <c r="C5" s="83">
        <v>12</v>
      </c>
      <c r="D5" s="22"/>
      <c r="E5" s="22"/>
      <c r="F5" s="22"/>
      <c r="G5" s="22"/>
      <c r="H5" s="34"/>
      <c r="I5" s="34"/>
      <c r="J5" s="35"/>
      <c r="K5" s="36"/>
      <c r="L5" s="37"/>
      <c r="M5" s="38"/>
      <c r="N5" s="39">
        <f t="shared" si="0"/>
        <v>0</v>
      </c>
      <c r="O5" s="40">
        <f t="shared" si="1"/>
        <v>0</v>
      </c>
      <c r="P5" s="44"/>
      <c r="Q5" s="45"/>
    </row>
    <row r="6" spans="1:17" x14ac:dyDescent="0.55000000000000004">
      <c r="H6" s="34" t="s">
        <v>87</v>
      </c>
      <c r="I6" s="34"/>
      <c r="J6" s="35">
        <v>150</v>
      </c>
      <c r="K6" s="36">
        <f>+J6/J$3</f>
        <v>0.5</v>
      </c>
      <c r="L6" s="37">
        <v>0</v>
      </c>
      <c r="M6" s="38"/>
      <c r="N6" s="39">
        <f t="shared" si="0"/>
        <v>0</v>
      </c>
      <c r="O6" s="40">
        <f t="shared" si="1"/>
        <v>0</v>
      </c>
      <c r="P6" s="41"/>
      <c r="Q6" s="34"/>
    </row>
    <row r="7" spans="1:17" ht="25.15" x14ac:dyDescent="0.65">
      <c r="A7" s="22" t="s">
        <v>8</v>
      </c>
      <c r="B7" s="22"/>
      <c r="C7" s="33">
        <f>+'Base '!D15</f>
        <v>1500000</v>
      </c>
      <c r="D7" s="22"/>
      <c r="E7" s="22"/>
      <c r="F7" s="22"/>
      <c r="H7" s="110" t="s">
        <v>88</v>
      </c>
      <c r="I7" s="111"/>
      <c r="J7" s="112">
        <v>30</v>
      </c>
      <c r="K7" s="113">
        <f>+J7/J$3</f>
        <v>0.1</v>
      </c>
      <c r="L7" s="114">
        <v>0.48</v>
      </c>
      <c r="M7" s="115"/>
      <c r="N7" s="116">
        <f t="shared" si="0"/>
        <v>14.399999999999999</v>
      </c>
      <c r="O7" s="117">
        <f t="shared" si="1"/>
        <v>3.287671232876712E-2</v>
      </c>
      <c r="P7" s="34" t="s">
        <v>127</v>
      </c>
      <c r="Q7" s="34"/>
    </row>
    <row r="8" spans="1:17" x14ac:dyDescent="0.55000000000000004">
      <c r="A8" s="22" t="s">
        <v>73</v>
      </c>
      <c r="B8" s="22"/>
      <c r="C8" s="42">
        <v>52</v>
      </c>
      <c r="D8" s="22"/>
      <c r="E8" s="22"/>
      <c r="F8" s="22"/>
      <c r="H8" s="34" t="s">
        <v>89</v>
      </c>
      <c r="I8" s="34"/>
      <c r="J8" s="35">
        <v>24</v>
      </c>
      <c r="K8" s="36">
        <f>+J8/J$3</f>
        <v>0.08</v>
      </c>
      <c r="L8" s="37">
        <v>1.5</v>
      </c>
      <c r="M8" s="38"/>
      <c r="N8" s="39">
        <f t="shared" si="0"/>
        <v>36</v>
      </c>
      <c r="O8" s="40">
        <f t="shared" si="1"/>
        <v>8.2191780821917804E-2</v>
      </c>
      <c r="P8" s="34"/>
      <c r="Q8" s="34"/>
    </row>
    <row r="9" spans="1:17" x14ac:dyDescent="0.55000000000000004">
      <c r="A9" s="22" t="s">
        <v>74</v>
      </c>
      <c r="B9" s="22"/>
      <c r="C9" s="43">
        <f>C7/C8</f>
        <v>28846.153846153848</v>
      </c>
      <c r="D9" s="22"/>
      <c r="E9" s="34"/>
      <c r="F9" s="22"/>
      <c r="H9" s="34" t="s">
        <v>91</v>
      </c>
      <c r="I9" s="34"/>
      <c r="J9" s="35">
        <v>0.1</v>
      </c>
      <c r="K9" s="36">
        <f>+J9/J$3</f>
        <v>3.3333333333333338E-4</v>
      </c>
      <c r="L9" s="37">
        <v>1</v>
      </c>
      <c r="M9" s="38"/>
      <c r="N9" s="39">
        <f t="shared" si="0"/>
        <v>0.1</v>
      </c>
      <c r="O9" s="40">
        <f t="shared" si="1"/>
        <v>2.2831050228310504E-4</v>
      </c>
      <c r="P9" s="34"/>
      <c r="Q9" s="49"/>
    </row>
    <row r="10" spans="1:17" x14ac:dyDescent="0.55000000000000004">
      <c r="A10" s="22" t="s">
        <v>75</v>
      </c>
      <c r="B10" s="22"/>
      <c r="C10" s="43">
        <f>C7/C16</f>
        <v>1185.1851851851852</v>
      </c>
      <c r="D10" s="22"/>
      <c r="E10" s="22"/>
      <c r="F10" s="22"/>
      <c r="H10" s="34" t="s">
        <v>90</v>
      </c>
      <c r="I10" s="34"/>
      <c r="J10" s="35"/>
      <c r="K10" s="36">
        <f>+J10/J$3</f>
        <v>0</v>
      </c>
      <c r="L10" s="37"/>
      <c r="M10" s="38"/>
      <c r="N10" s="39">
        <f t="shared" si="0"/>
        <v>0</v>
      </c>
      <c r="O10" s="40">
        <f t="shared" si="1"/>
        <v>0</v>
      </c>
      <c r="P10" s="34"/>
      <c r="Q10" s="49"/>
    </row>
    <row r="11" spans="1:17" x14ac:dyDescent="0.55000000000000004">
      <c r="A11" s="22" t="s">
        <v>76</v>
      </c>
      <c r="B11" s="22"/>
      <c r="C11" s="43">
        <f>+C7/C17</f>
        <v>1066.6666666666667</v>
      </c>
      <c r="D11" s="22"/>
      <c r="E11" s="22"/>
      <c r="F11" s="22"/>
      <c r="H11" s="46"/>
      <c r="I11" s="34"/>
      <c r="J11" s="35"/>
      <c r="K11" s="36"/>
      <c r="L11" s="37"/>
      <c r="M11" s="38"/>
      <c r="N11" s="39">
        <f t="shared" si="0"/>
        <v>0</v>
      </c>
      <c r="O11" s="40">
        <f t="shared" si="1"/>
        <v>0</v>
      </c>
      <c r="P11" s="34"/>
      <c r="Q11" s="49"/>
    </row>
    <row r="12" spans="1:17" x14ac:dyDescent="0.55000000000000004">
      <c r="A12" s="34" t="s">
        <v>100</v>
      </c>
      <c r="B12" s="34"/>
      <c r="C12" s="45">
        <f>+C11/C8</f>
        <v>20.512820512820515</v>
      </c>
      <c r="D12" s="34"/>
      <c r="E12" s="34"/>
      <c r="F12" s="34"/>
      <c r="H12" s="46"/>
      <c r="I12" s="34"/>
      <c r="J12" s="35"/>
      <c r="K12" s="36"/>
      <c r="L12" s="37"/>
      <c r="M12" s="38"/>
      <c r="N12" s="39">
        <f t="shared" si="0"/>
        <v>0</v>
      </c>
      <c r="O12" s="40">
        <f t="shared" si="1"/>
        <v>0</v>
      </c>
      <c r="P12" s="34"/>
      <c r="Q12" s="49"/>
    </row>
    <row r="13" spans="1:17" x14ac:dyDescent="0.55000000000000004">
      <c r="A13" s="48" t="s">
        <v>101</v>
      </c>
      <c r="B13" s="34"/>
      <c r="C13" s="47">
        <v>24</v>
      </c>
      <c r="D13" s="34"/>
      <c r="E13" s="34"/>
      <c r="F13" s="34"/>
      <c r="H13" s="34"/>
      <c r="I13" s="34"/>
      <c r="J13" s="35"/>
      <c r="K13" s="36"/>
      <c r="L13" s="37"/>
      <c r="M13" s="38"/>
      <c r="N13" s="39">
        <f>+L13*I13</f>
        <v>0</v>
      </c>
      <c r="O13" s="40">
        <f t="shared" si="1"/>
        <v>0</v>
      </c>
      <c r="P13" s="34"/>
      <c r="Q13" s="49"/>
    </row>
    <row r="14" spans="1:17" x14ac:dyDescent="0.55000000000000004">
      <c r="A14" s="48" t="s">
        <v>102</v>
      </c>
      <c r="B14" s="22"/>
      <c r="C14" s="50">
        <v>15</v>
      </c>
      <c r="D14" s="22"/>
      <c r="E14" s="22"/>
      <c r="F14" s="22"/>
      <c r="H14" s="34"/>
      <c r="I14" s="34"/>
      <c r="J14" s="35"/>
      <c r="K14" s="36"/>
      <c r="L14" s="37"/>
      <c r="M14" s="38"/>
      <c r="N14" s="39">
        <f t="shared" si="0"/>
        <v>0</v>
      </c>
      <c r="O14" s="40">
        <f t="shared" si="1"/>
        <v>0</v>
      </c>
      <c r="P14" s="34"/>
      <c r="Q14" s="49"/>
    </row>
    <row r="15" spans="1:17" x14ac:dyDescent="0.55000000000000004">
      <c r="A15" s="22" t="s">
        <v>103</v>
      </c>
      <c r="B15" s="22"/>
      <c r="C15" s="107">
        <f>+C13*C14</f>
        <v>360</v>
      </c>
      <c r="D15" s="22"/>
      <c r="E15" s="22" t="s">
        <v>77</v>
      </c>
      <c r="F15" s="22"/>
      <c r="H15" s="34"/>
      <c r="I15" s="34"/>
      <c r="J15" s="53"/>
      <c r="K15" s="54"/>
      <c r="L15" s="55"/>
      <c r="M15" s="56"/>
      <c r="N15" s="57">
        <f t="shared" si="0"/>
        <v>0</v>
      </c>
      <c r="O15" s="40">
        <f t="shared" si="1"/>
        <v>0</v>
      </c>
      <c r="P15" s="34"/>
      <c r="Q15" s="49"/>
    </row>
    <row r="16" spans="1:17" x14ac:dyDescent="0.55000000000000004">
      <c r="A16" s="22" t="s">
        <v>78</v>
      </c>
      <c r="B16" s="22"/>
      <c r="C16" s="45">
        <f>+C17*C18</f>
        <v>1265.625</v>
      </c>
      <c r="D16" s="34"/>
      <c r="E16" s="51"/>
      <c r="F16" s="34"/>
      <c r="H16" s="34"/>
      <c r="I16" s="34"/>
      <c r="J16" s="58"/>
      <c r="K16" s="36"/>
      <c r="L16" s="37"/>
      <c r="M16" s="38"/>
      <c r="N16" s="39"/>
      <c r="O16" s="40"/>
      <c r="P16" s="34"/>
      <c r="Q16" s="49"/>
    </row>
    <row r="17" spans="1:17" ht="23.25" thickBot="1" x14ac:dyDescent="0.9">
      <c r="A17" s="22" t="s">
        <v>79</v>
      </c>
      <c r="B17" s="22"/>
      <c r="C17" s="45">
        <f>+C15/12*C3/16*60</f>
        <v>1406.25</v>
      </c>
      <c r="D17" s="22"/>
      <c r="E17" s="52">
        <f>+C17/C2/60</f>
        <v>1.5</v>
      </c>
      <c r="F17" s="22"/>
      <c r="H17" s="22" t="s">
        <v>60</v>
      </c>
      <c r="I17" s="22"/>
      <c r="J17" s="60">
        <f>SUM(J3:J16)</f>
        <v>504.1</v>
      </c>
      <c r="K17" s="36"/>
      <c r="L17" s="61"/>
      <c r="M17" s="61"/>
      <c r="N17" s="62">
        <f>SUM(N3:N15)</f>
        <v>104.5</v>
      </c>
      <c r="O17" s="40">
        <f>N17/$C$27</f>
        <v>0.23858447488584475</v>
      </c>
      <c r="P17" s="22"/>
      <c r="Q17" s="63"/>
    </row>
    <row r="18" spans="1:17" ht="23.25" thickTop="1" x14ac:dyDescent="0.85">
      <c r="A18" s="22" t="s">
        <v>80</v>
      </c>
      <c r="B18" s="22"/>
      <c r="C18" s="46">
        <v>0.9</v>
      </c>
      <c r="D18" s="22"/>
      <c r="E18" s="52"/>
      <c r="F18" s="22" t="s">
        <v>59</v>
      </c>
      <c r="H18" s="22"/>
      <c r="I18" s="22"/>
      <c r="J18" s="63"/>
      <c r="K18" s="65"/>
      <c r="L18" s="61"/>
      <c r="M18" s="61"/>
      <c r="N18" s="66"/>
      <c r="O18" s="67"/>
      <c r="P18" s="22"/>
      <c r="Q18" s="63"/>
    </row>
    <row r="19" spans="1:17" ht="21" thickBot="1" x14ac:dyDescent="0.6">
      <c r="A19" s="22" t="s">
        <v>81</v>
      </c>
      <c r="B19" s="22"/>
      <c r="C19" s="45">
        <f>C17/C20</f>
        <v>140.625</v>
      </c>
      <c r="D19" s="22"/>
      <c r="E19" s="52"/>
      <c r="F19" s="22"/>
      <c r="H19" s="22"/>
      <c r="I19" s="22"/>
      <c r="J19" s="71" t="s">
        <v>62</v>
      </c>
      <c r="K19" s="71"/>
      <c r="L19" s="71" t="s">
        <v>63</v>
      </c>
      <c r="M19" s="71"/>
      <c r="N19" s="72" t="s">
        <v>64</v>
      </c>
      <c r="O19" s="22"/>
      <c r="P19" s="22"/>
      <c r="Q19" s="73"/>
    </row>
    <row r="20" spans="1:17" x14ac:dyDescent="0.55000000000000004">
      <c r="A20" s="22" t="s">
        <v>82</v>
      </c>
      <c r="B20" s="22"/>
      <c r="C20" s="47">
        <v>10</v>
      </c>
      <c r="D20" s="22"/>
      <c r="E20" s="52"/>
      <c r="F20" s="22"/>
      <c r="H20" s="22" t="s">
        <v>54</v>
      </c>
      <c r="I20" s="22"/>
      <c r="J20" s="74">
        <f>N20*$C$2</f>
        <v>3.7278824200913241</v>
      </c>
      <c r="K20" s="74"/>
      <c r="L20" s="75">
        <f>J20/$C$4</f>
        <v>0.1863941210045662</v>
      </c>
      <c r="M20" s="74"/>
      <c r="N20" s="76">
        <f>+N17/C27</f>
        <v>0.23858447488584475</v>
      </c>
      <c r="O20" s="22"/>
      <c r="P20" s="22"/>
      <c r="Q20" s="73"/>
    </row>
    <row r="21" spans="1:17" x14ac:dyDescent="0.55000000000000004">
      <c r="A21" s="22" t="s">
        <v>83</v>
      </c>
      <c r="B21" s="22"/>
      <c r="C21" s="59">
        <v>12</v>
      </c>
      <c r="D21" s="22"/>
      <c r="F21" s="22"/>
      <c r="H21" s="22"/>
      <c r="I21" s="22"/>
      <c r="J21" s="77"/>
      <c r="K21" s="77"/>
      <c r="L21" s="78"/>
      <c r="M21" s="77"/>
      <c r="N21" s="79"/>
      <c r="O21" s="22"/>
      <c r="P21" s="22"/>
      <c r="Q21" s="73"/>
    </row>
    <row r="22" spans="1:17" x14ac:dyDescent="0.55000000000000004">
      <c r="A22" s="22" t="s">
        <v>84</v>
      </c>
      <c r="B22" s="22"/>
      <c r="C22" s="64">
        <f>+C17/C2*C4/60</f>
        <v>30</v>
      </c>
      <c r="D22" s="22"/>
      <c r="E22" s="52"/>
      <c r="F22" s="22"/>
      <c r="H22" s="22" t="s">
        <v>65</v>
      </c>
      <c r="I22" s="22"/>
      <c r="J22" s="66">
        <f>+N22*C$2</f>
        <v>1.3333333333333333</v>
      </c>
      <c r="K22" s="61"/>
      <c r="L22" s="80">
        <f>+J22/C$4</f>
        <v>6.6666666666666666E-2</v>
      </c>
      <c r="M22" s="61"/>
      <c r="N22" s="81">
        <f>C21/C19</f>
        <v>8.533333333333333E-2</v>
      </c>
      <c r="O22" s="22"/>
      <c r="P22" s="30" t="s">
        <v>115</v>
      </c>
      <c r="Q22" s="30"/>
    </row>
    <row r="23" spans="1:17" x14ac:dyDescent="0.55000000000000004">
      <c r="A23" s="22" t="s">
        <v>104</v>
      </c>
      <c r="B23" s="22"/>
      <c r="C23" s="68">
        <f>C7/52</f>
        <v>28846.153846153848</v>
      </c>
      <c r="D23" s="22"/>
      <c r="E23" s="52"/>
      <c r="F23" s="22"/>
      <c r="H23" s="22" t="s">
        <v>48</v>
      </c>
      <c r="I23" s="22"/>
      <c r="J23" s="66">
        <f>+N23*C$2</f>
        <v>0.74323104693140796</v>
      </c>
      <c r="K23" s="61"/>
      <c r="L23" s="80">
        <f>+J23/C$4</f>
        <v>3.7161552346570398E-2</v>
      </c>
      <c r="M23" s="61"/>
      <c r="N23" s="81">
        <f>+P23/C$17</f>
        <v>4.7566787003610111E-2</v>
      </c>
      <c r="O23" s="22"/>
      <c r="P23" s="82">
        <f>+'Indirect Labor'!I9</f>
        <v>66.890794223826717</v>
      </c>
      <c r="Q23" s="22" t="s">
        <v>126</v>
      </c>
    </row>
    <row r="24" spans="1:17" x14ac:dyDescent="0.55000000000000004">
      <c r="H24" s="22" t="s">
        <v>66</v>
      </c>
      <c r="I24" s="22"/>
      <c r="J24" s="66">
        <f>+N24*C$2</f>
        <v>0.70667870036101077</v>
      </c>
      <c r="K24" s="61"/>
      <c r="L24" s="80">
        <f>+J24/C$4</f>
        <v>3.5333935018050537E-2</v>
      </c>
      <c r="M24" s="61"/>
      <c r="N24" s="81">
        <f>+P24/C$17</f>
        <v>4.5227436823104691E-2</v>
      </c>
      <c r="O24" s="83"/>
      <c r="P24" s="82">
        <f>+'Variable Cost'!I11</f>
        <v>63.601083032490969</v>
      </c>
      <c r="Q24" s="22" t="s">
        <v>124</v>
      </c>
    </row>
    <row r="25" spans="1:17" x14ac:dyDescent="0.55000000000000004">
      <c r="H25" s="22" t="s">
        <v>67</v>
      </c>
      <c r="I25" s="22"/>
      <c r="J25" s="66">
        <f>+N25*C$2</f>
        <v>2.6458245725393739</v>
      </c>
      <c r="K25" s="61"/>
      <c r="L25" s="80">
        <f>+J25/C$4</f>
        <v>0.13229122862696868</v>
      </c>
      <c r="M25" s="61"/>
      <c r="N25" s="81">
        <f>+P25/C$17</f>
        <v>0.16933277264251992</v>
      </c>
      <c r="O25" s="22"/>
      <c r="P25" s="82">
        <f>+'Fixed Cost'!O15</f>
        <v>238.12421152854364</v>
      </c>
      <c r="Q25" s="22" t="s">
        <v>125</v>
      </c>
    </row>
    <row r="26" spans="1:17" x14ac:dyDescent="0.55000000000000004">
      <c r="A26" s="22" t="s">
        <v>61</v>
      </c>
      <c r="B26" s="22"/>
      <c r="C26" s="69">
        <v>0.04</v>
      </c>
      <c r="D26" s="65"/>
      <c r="H26" s="84" t="s">
        <v>68</v>
      </c>
      <c r="I26" s="22"/>
      <c r="J26" s="85">
        <f>SUM(J22:J25)</f>
        <v>5.4290676531651254</v>
      </c>
      <c r="K26" s="86"/>
      <c r="L26" s="87">
        <f>SUM(L22:L25)</f>
        <v>0.27145338265825625</v>
      </c>
      <c r="M26" s="86"/>
      <c r="N26" s="88">
        <f>SUM(N22:N25)</f>
        <v>0.34746032980256802</v>
      </c>
      <c r="O26" s="22"/>
      <c r="P26" s="22"/>
      <c r="Q26" s="22"/>
    </row>
    <row r="27" spans="1:17" x14ac:dyDescent="0.55000000000000004">
      <c r="A27" s="22" t="s">
        <v>120</v>
      </c>
      <c r="B27" s="22"/>
      <c r="C27" s="63">
        <f>+C29*(J3)</f>
        <v>438</v>
      </c>
      <c r="D27" s="63"/>
      <c r="H27" s="22" t="s">
        <v>69</v>
      </c>
      <c r="I27" s="104" t="s">
        <v>70</v>
      </c>
      <c r="J27" s="66"/>
      <c r="K27" s="61"/>
      <c r="L27" s="80"/>
      <c r="M27" s="61"/>
      <c r="N27" s="81"/>
      <c r="O27" s="22"/>
      <c r="P27" s="22"/>
      <c r="Q27" s="22"/>
    </row>
    <row r="28" spans="1:17" x14ac:dyDescent="0.55000000000000004">
      <c r="A28" s="22" t="s">
        <v>92</v>
      </c>
      <c r="B28" s="22"/>
      <c r="C28" s="70">
        <v>1.5</v>
      </c>
      <c r="D28" s="63"/>
      <c r="H28" s="105" t="s">
        <v>106</v>
      </c>
      <c r="I28" s="34">
        <v>1</v>
      </c>
      <c r="J28" s="59">
        <v>0.75</v>
      </c>
      <c r="K28" s="39"/>
      <c r="L28" s="89">
        <f>+J28/C4</f>
        <v>3.7499999999999999E-2</v>
      </c>
      <c r="M28" s="39"/>
      <c r="N28" s="40">
        <f>+J28/C2</f>
        <v>4.8000000000000001E-2</v>
      </c>
      <c r="O28" s="22"/>
      <c r="P28" s="22"/>
      <c r="Q28" s="22"/>
    </row>
    <row r="29" spans="1:17" x14ac:dyDescent="0.55000000000000004">
      <c r="A29" s="22" t="s">
        <v>121</v>
      </c>
      <c r="B29" s="22"/>
      <c r="C29" s="108">
        <f>+C28-C26</f>
        <v>1.46</v>
      </c>
      <c r="D29" s="22"/>
      <c r="H29" s="105" t="s">
        <v>107</v>
      </c>
      <c r="I29" s="34">
        <f>+C4</f>
        <v>20</v>
      </c>
      <c r="J29" s="39">
        <f>L29*C4</f>
        <v>1.6</v>
      </c>
      <c r="K29" s="39"/>
      <c r="L29" s="90">
        <v>0.08</v>
      </c>
      <c r="M29" s="39"/>
      <c r="N29" s="40">
        <f>+(L29*C4)/C2</f>
        <v>0.1024</v>
      </c>
      <c r="O29" s="22"/>
      <c r="P29" s="22"/>
      <c r="Q29" s="22"/>
    </row>
    <row r="30" spans="1:17" x14ac:dyDescent="0.55000000000000004">
      <c r="H30" s="91" t="s">
        <v>71</v>
      </c>
      <c r="I30" s="34"/>
      <c r="J30" s="92">
        <f>SUM(J28:J29)</f>
        <v>2.35</v>
      </c>
      <c r="K30" s="93"/>
      <c r="L30" s="94">
        <f>SUM(L28:L29)</f>
        <v>0.11749999999999999</v>
      </c>
      <c r="M30" s="93"/>
      <c r="N30" s="95">
        <f>SUM(N28:N29)</f>
        <v>0.15040000000000001</v>
      </c>
      <c r="O30" s="22"/>
      <c r="P30" s="22"/>
      <c r="Q30" s="22"/>
    </row>
    <row r="31" spans="1:17" x14ac:dyDescent="0.55000000000000004">
      <c r="H31" s="34"/>
      <c r="I31" s="34"/>
      <c r="J31" s="39"/>
      <c r="K31" s="38"/>
      <c r="L31" s="89"/>
      <c r="M31" s="38"/>
      <c r="N31" s="40"/>
      <c r="O31" s="22"/>
      <c r="P31" s="22" t="s">
        <v>105</v>
      </c>
      <c r="Q31" s="22"/>
    </row>
    <row r="32" spans="1:17" x14ac:dyDescent="0.55000000000000004">
      <c r="H32" s="96" t="s">
        <v>72</v>
      </c>
      <c r="I32" s="22"/>
      <c r="J32" s="85">
        <f>J20+J26+J30</f>
        <v>11.50695007325645</v>
      </c>
      <c r="K32" s="86"/>
      <c r="L32" s="87">
        <f>L20+L26+L30</f>
        <v>0.57534750366282239</v>
      </c>
      <c r="M32" s="86"/>
      <c r="N32" s="88">
        <f>N20+N26+N30</f>
        <v>0.73644480468841278</v>
      </c>
      <c r="O32" s="22"/>
      <c r="P32" s="81">
        <f>+L32/C5</f>
        <v>4.7945625305235197E-2</v>
      </c>
      <c r="Q32" s="22"/>
    </row>
    <row r="33" spans="8:17" x14ac:dyDescent="0.55000000000000004">
      <c r="H33" s="96"/>
      <c r="I33" s="22"/>
      <c r="J33" s="97"/>
      <c r="K33" s="98"/>
      <c r="L33" s="99"/>
      <c r="M33" s="98"/>
      <c r="N33" s="100"/>
      <c r="O33" s="22"/>
      <c r="P33" s="81"/>
      <c r="Q33" s="22"/>
    </row>
    <row r="34" spans="8:17" x14ac:dyDescent="0.55000000000000004">
      <c r="H34" s="26" t="s">
        <v>17</v>
      </c>
      <c r="I34" s="118">
        <f>+'Base '!D15+'Base '!D16</f>
        <v>3000000</v>
      </c>
    </row>
    <row r="35" spans="8:17" x14ac:dyDescent="0.55000000000000004">
      <c r="H35" s="26" t="s">
        <v>128</v>
      </c>
      <c r="I35" s="120">
        <f>+'Press 6.5 in'!N32</f>
        <v>0.74123932523635794</v>
      </c>
    </row>
    <row r="36" spans="8:17" x14ac:dyDescent="0.55000000000000004">
      <c r="H36" s="26" t="s">
        <v>129</v>
      </c>
      <c r="I36" s="120">
        <f>+N32</f>
        <v>0.73644480468841278</v>
      </c>
    </row>
    <row r="37" spans="8:17" x14ac:dyDescent="0.55000000000000004">
      <c r="H37" s="26" t="s">
        <v>130</v>
      </c>
      <c r="I37" s="120">
        <f>+I36-I35</f>
        <v>-4.794520547945158E-3</v>
      </c>
    </row>
    <row r="38" spans="8:17" x14ac:dyDescent="0.55000000000000004">
      <c r="H38" s="26" t="s">
        <v>131</v>
      </c>
      <c r="I38" s="119">
        <f>+I37*I34</f>
        <v>-14383.561643835474</v>
      </c>
    </row>
    <row r="47" spans="8:17" x14ac:dyDescent="0.55000000000000004">
      <c r="H47" s="22"/>
      <c r="I47" s="22"/>
      <c r="J47" s="22"/>
      <c r="K47" s="102"/>
    </row>
    <row r="48" spans="8:17" x14ac:dyDescent="0.55000000000000004">
      <c r="H48" s="22"/>
      <c r="I48" s="22"/>
      <c r="J48" s="22"/>
      <c r="K48" s="22"/>
    </row>
    <row r="49" spans="2:26" x14ac:dyDescent="0.55000000000000004">
      <c r="I49" s="22"/>
      <c r="J49" s="22"/>
      <c r="K49" s="22"/>
    </row>
    <row r="50" spans="2:26" x14ac:dyDescent="0.55000000000000004">
      <c r="H50" s="34"/>
      <c r="I50" s="34"/>
      <c r="J50" s="34"/>
      <c r="K50" s="22"/>
    </row>
    <row r="51" spans="2:26" x14ac:dyDescent="0.55000000000000004">
      <c r="H51" s="34"/>
      <c r="I51" s="34"/>
      <c r="J51" s="34"/>
      <c r="K51" s="22"/>
    </row>
    <row r="52" spans="2:26" x14ac:dyDescent="0.55000000000000004">
      <c r="H52" s="22"/>
      <c r="I52" s="22"/>
      <c r="J52" s="22"/>
      <c r="K52" s="103">
        <v>36</v>
      </c>
    </row>
    <row r="53" spans="2:26" x14ac:dyDescent="0.55000000000000004">
      <c r="H53" s="22"/>
      <c r="I53" s="22"/>
      <c r="J53" s="22"/>
      <c r="K53" s="103">
        <v>24</v>
      </c>
    </row>
    <row r="54" spans="2:26" x14ac:dyDescent="0.55000000000000004">
      <c r="H54" s="34"/>
      <c r="I54" s="34"/>
      <c r="J54" s="22"/>
      <c r="K54" s="103">
        <v>25</v>
      </c>
    </row>
    <row r="55" spans="2:26" x14ac:dyDescent="0.55000000000000004">
      <c r="H55" s="34"/>
      <c r="I55" s="34"/>
      <c r="J55" s="22"/>
      <c r="K55" s="103">
        <v>26</v>
      </c>
    </row>
    <row r="56" spans="2:26" x14ac:dyDescent="0.55000000000000004">
      <c r="I56" s="22"/>
      <c r="J56" s="22"/>
      <c r="K56" s="103">
        <v>27</v>
      </c>
    </row>
    <row r="57" spans="2:26" x14ac:dyDescent="0.55000000000000004">
      <c r="H57" s="22"/>
      <c r="I57" s="22"/>
      <c r="J57" s="22"/>
      <c r="K57" s="103">
        <v>28</v>
      </c>
    </row>
    <row r="58" spans="2:26" x14ac:dyDescent="0.55000000000000004">
      <c r="H58" s="22"/>
      <c r="I58" s="22"/>
      <c r="J58" s="22"/>
      <c r="K58" s="103">
        <v>29</v>
      </c>
    </row>
    <row r="59" spans="2:26" x14ac:dyDescent="0.55000000000000004">
      <c r="I59" s="22"/>
      <c r="J59" s="22"/>
      <c r="K59" s="103">
        <v>30</v>
      </c>
    </row>
    <row r="60" spans="2:26" x14ac:dyDescent="0.55000000000000004">
      <c r="H60" s="22"/>
      <c r="I60" s="22"/>
      <c r="J60" s="22"/>
      <c r="K60" s="103">
        <v>31</v>
      </c>
    </row>
    <row r="61" spans="2:26" x14ac:dyDescent="0.55000000000000004">
      <c r="H61" s="22"/>
      <c r="I61" s="22"/>
      <c r="J61" s="22"/>
      <c r="K61" s="103">
        <v>32</v>
      </c>
    </row>
    <row r="62" spans="2:26" x14ac:dyDescent="0.55000000000000004">
      <c r="H62" s="22"/>
      <c r="I62" s="22"/>
      <c r="J62" s="22"/>
      <c r="K62" s="103">
        <v>33</v>
      </c>
    </row>
    <row r="63" spans="2:26" x14ac:dyDescent="0.55000000000000004">
      <c r="B63" s="22"/>
      <c r="C63" s="22"/>
      <c r="D63" s="52"/>
      <c r="E63" s="22"/>
      <c r="F63" s="52"/>
      <c r="G63" s="22"/>
      <c r="H63" s="22"/>
      <c r="I63" s="22"/>
      <c r="J63" s="22"/>
      <c r="K63" s="103">
        <v>34</v>
      </c>
    </row>
    <row r="64" spans="2:26" x14ac:dyDescent="0.55000000000000004">
      <c r="B64" s="22"/>
      <c r="C64" s="22"/>
      <c r="D64" s="22"/>
      <c r="E64" s="22"/>
      <c r="F64" s="52"/>
      <c r="G64" s="22"/>
      <c r="H64" s="22"/>
      <c r="I64" s="22"/>
      <c r="J64" s="22"/>
      <c r="K64" s="103">
        <v>35</v>
      </c>
      <c r="W64" s="22"/>
      <c r="X64" s="22"/>
      <c r="Y64" s="22"/>
      <c r="Z64" s="22"/>
    </row>
    <row r="65" spans="2:26" x14ac:dyDescent="0.55000000000000004">
      <c r="B65" s="22"/>
      <c r="C65" s="22"/>
      <c r="D65" s="22"/>
      <c r="E65" s="22"/>
      <c r="F65" s="52"/>
      <c r="G65" s="22"/>
      <c r="H65" s="22"/>
      <c r="I65" s="22"/>
      <c r="J65" s="22"/>
      <c r="W65" s="22"/>
      <c r="X65" s="22"/>
      <c r="Y65" s="22"/>
      <c r="Z65" s="10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Base </vt:lpstr>
      <vt:lpstr>Variable Cost</vt:lpstr>
      <vt:lpstr>Fixed Cost</vt:lpstr>
      <vt:lpstr>Indirect Labor</vt:lpstr>
      <vt:lpstr>Press 6.5 in</vt:lpstr>
      <vt:lpstr>Press 10in</vt:lpstr>
      <vt:lpstr>Corn 6 In</vt:lpstr>
      <vt:lpstr>HC Chips</vt:lpstr>
      <vt:lpstr>Savings cubed versus liquid</vt:lpstr>
      <vt:lpstr>Decrease  Giveaway</vt:lpstr>
      <vt:lpstr>Decrease staffing</vt:lpstr>
      <vt:lpstr>Increase Line Speed 1 Cycle</vt:lpstr>
      <vt:lpstr>Double Volume</vt:lpstr>
      <vt:lpstr>Head Cut Chips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 Froud</dc:creator>
  <cp:lastModifiedBy>Jim Kabbani</cp:lastModifiedBy>
  <cp:lastPrinted>2015-04-02T18:04:31Z</cp:lastPrinted>
  <dcterms:created xsi:type="dcterms:W3CDTF">2015-04-01T15:38:27Z</dcterms:created>
  <dcterms:modified xsi:type="dcterms:W3CDTF">2019-09-10T19:25:35Z</dcterms:modified>
</cp:coreProperties>
</file>